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charts/chart6.xml" ContentType="application/vnd.openxmlformats-officedocument.drawingml.char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charts/chart7.xml" ContentType="application/vnd.openxmlformats-officedocument.drawingml.chart+xml"/>
  <Override PartName="/xl/drawings/drawing12.xml" ContentType="application/vnd.openxmlformats-officedocument.drawing+xml"/>
  <Override PartName="/xl/comments6.xml" ContentType="application/vnd.openxmlformats-officedocument.spreadsheetml.comments+xml"/>
  <Override PartName="/xl/charts/chart8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9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10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1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2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3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charts/chart1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 updateLinks="never" codeName="DieseArbeitsmappe"/>
  <mc:AlternateContent xmlns:mc="http://schemas.openxmlformats.org/markup-compatibility/2006">
    <mc:Choice Requires="x15">
      <x15ac:absPath xmlns:x15ac="http://schemas.microsoft.com/office/spreadsheetml/2010/11/ac" url="D:\Dropbox\@fileswork\@iManagement\"/>
    </mc:Choice>
  </mc:AlternateContent>
  <xr:revisionPtr revIDLastSave="0" documentId="13_ncr:1_{659AEA88-F11D-460E-90C9-723010D69BE5}" xr6:coauthVersionLast="47" xr6:coauthVersionMax="47" xr10:uidLastSave="{00000000-0000-0000-0000-000000000000}"/>
  <bookViews>
    <workbookView showSheetTabs="0" xWindow="-108" yWindow="-108" windowWidth="46296" windowHeight="25416" tabRatio="899" firstSheet="1" activeTab="1" xr2:uid="{00000000-000D-0000-FFFF-FFFF00000000}"/>
  </bookViews>
  <sheets>
    <sheet name=" " sheetId="82" state="veryHidden" r:id="rId1"/>
    <sheet name="Menu" sheetId="12" r:id="rId2"/>
    <sheet name="Kommunikationsquadrat" sheetId="130" r:id="rId3"/>
    <sheet name="Stakeholder" sheetId="76" r:id="rId4"/>
    <sheet name="PESTLE" sheetId="56" r:id="rId5"/>
    <sheet name="Swot-Analyse" sheetId="17" r:id="rId6"/>
    <sheet name="Benchmark" sheetId="80" r:id="rId7"/>
    <sheet name="Massnahmen" sheetId="108" r:id="rId8"/>
    <sheet name="Zielgruppe" sheetId="87" r:id="rId9"/>
    <sheet name="Distribution" sheetId="100" r:id="rId10"/>
    <sheet name="Empathy" sheetId="122" r:id="rId11"/>
    <sheet name="Risikomgmt" sheetId="75" r:id="rId12"/>
    <sheet name="Kommunikation" sheetId="127" r:id="rId13"/>
    <sheet name="Budget" sheetId="124" r:id="rId14"/>
    <sheet name="sIndikatoren" sheetId="109" r:id="rId15"/>
    <sheet name="oIndikatoren" sheetId="110" r:id="rId16"/>
    <sheet name="2Cockpit" sheetId="128" r:id="rId17"/>
    <sheet name="Logo" sheetId="131" r:id="rId18"/>
  </sheets>
  <externalReferences>
    <externalReference r:id="rId19"/>
    <externalReference r:id="rId20"/>
    <externalReference r:id="rId21"/>
    <externalReference r:id="rId22"/>
  </externalReferences>
  <definedNames>
    <definedName name="__10">oIndikatoren!$A$113</definedName>
    <definedName name="__11">oIndikatoren!$A$125</definedName>
    <definedName name="__12">oIndikatoren!$A$137</definedName>
    <definedName name="__13">oIndikatoren!$A$149</definedName>
    <definedName name="__14">oIndikatoren!$A$161</definedName>
    <definedName name="__15">oIndikatoren!$A$173</definedName>
    <definedName name="__16">oIndikatoren!$A$185</definedName>
    <definedName name="__17">oIndikatoren!$A$197</definedName>
    <definedName name="__18">oIndikatoren!$A$209</definedName>
    <definedName name="__19">oIndikatoren!$A$221</definedName>
    <definedName name="__20">oIndikatoren!$A$233</definedName>
    <definedName name="__21">oIndikatoren!$A$245</definedName>
    <definedName name="__22">oIndikatoren!$A$257</definedName>
    <definedName name="__23">oIndikatoren!$A$269</definedName>
    <definedName name="__24">oIndikatoren!$A$281</definedName>
    <definedName name="__25">oIndikatoren!$A$293</definedName>
    <definedName name="__26">oIndikatoren!$A$305</definedName>
    <definedName name="__27">oIndikatoren!$A$317</definedName>
    <definedName name="__28">oIndikatoren!$A$329</definedName>
    <definedName name="__29">oIndikatoren!$A$341</definedName>
    <definedName name="__30">oIndikatoren!$A$353</definedName>
    <definedName name="__31">oIndikatoren!$A$365</definedName>
    <definedName name="__32">oIndikatoren!$A$377</definedName>
    <definedName name="__33">oIndikatoren!$A$389</definedName>
    <definedName name="__34">oIndikatoren!$A$401</definedName>
    <definedName name="__35">oIndikatoren!$A$413</definedName>
    <definedName name="__36">oIndikatoren!$A$425</definedName>
    <definedName name="__37">oIndikatoren!$A$437</definedName>
    <definedName name="__38">oIndikatoren!$A$449</definedName>
    <definedName name="__39">oIndikatoren!$A$461</definedName>
    <definedName name="__40">oIndikatoren!$A$473</definedName>
    <definedName name="__41">oIndikatoren!$A$485</definedName>
    <definedName name="__42">oIndikatoren!$A$497</definedName>
    <definedName name="__43">oIndikatoren!$A$509</definedName>
    <definedName name="__44">oIndikatoren!$A$521</definedName>
    <definedName name="__45">oIndikatoren!$A$533</definedName>
    <definedName name="__46">oIndikatoren!$A$545</definedName>
    <definedName name="__47">oIndikatoren!$A$557</definedName>
    <definedName name="__48">oIndikatoren!$A$569</definedName>
    <definedName name="__49">oIndikatoren!$A$581</definedName>
    <definedName name="__50">oIndikatoren!$A$593</definedName>
    <definedName name="__51">oIndikatoren!$A$605</definedName>
    <definedName name="__52">oIndikatoren!$A$617</definedName>
    <definedName name="__53">oIndikatoren!$A$629</definedName>
    <definedName name="__54">oIndikatoren!$A$641</definedName>
    <definedName name="__55">oIndikatoren!$A$653</definedName>
    <definedName name="__56">oIndikatoren!$A$665</definedName>
    <definedName name="__57">oIndikatoren!$A$677</definedName>
    <definedName name="__58">oIndikatoren!$A$689</definedName>
    <definedName name="__59">oIndikatoren!$A$701</definedName>
    <definedName name="__60">oIndikatoren!$A$713</definedName>
    <definedName name="__61">oIndikatoren!$A$725</definedName>
    <definedName name="__62">oIndikatoren!$A$737</definedName>
    <definedName name="__63">oIndikatoren!$A$749</definedName>
    <definedName name="__64">oIndikatoren!$A$761</definedName>
    <definedName name="__65">oIndikatoren!$A$773</definedName>
    <definedName name="__66">oIndikatoren!$A$785</definedName>
    <definedName name="__67">oIndikatoren!$A$797</definedName>
    <definedName name="__68">oIndikatoren!$A$809</definedName>
    <definedName name="__69">oIndikatoren!$A$821</definedName>
    <definedName name="__70">oIndikatoren!$A$833</definedName>
    <definedName name="__71">oIndikatoren!$A$845</definedName>
    <definedName name="__72">oIndikatoren!$A$857</definedName>
    <definedName name="__73">oIndikatoren!$A$869</definedName>
    <definedName name="__74">oIndikatoren!$A$881</definedName>
    <definedName name="__75">oIndikatoren!$A$893</definedName>
    <definedName name="__76">oIndikatoren!$A$905</definedName>
    <definedName name="__77">oIndikatoren!$A$917</definedName>
    <definedName name="__78">oIndikatoren!$A$929</definedName>
    <definedName name="__79">oIndikatoren!$A$941</definedName>
    <definedName name="__80">oIndikatoren!$A$953</definedName>
    <definedName name="__o1">oIndikatoren!$A$5</definedName>
    <definedName name="__o2">oIndikatoren!$A$17</definedName>
    <definedName name="__o3">oIndikatoren!$A$29</definedName>
    <definedName name="__o4">oIndikatoren!$A$41</definedName>
    <definedName name="__o5">oIndikatoren!$A$53</definedName>
    <definedName name="__o6">oIndikatoren!$A$65</definedName>
    <definedName name="__o7">oIndikatoren!$A$77</definedName>
    <definedName name="__o8">oIndikatoren!$A$89</definedName>
    <definedName name="__o9">oIndikatoren!$A$101</definedName>
    <definedName name="__s1" localSheetId="17">[1]Massnahmen!$E$6</definedName>
    <definedName name="__s1">Massnahmen!$E$7</definedName>
    <definedName name="__s10" localSheetId="17">[1]Massnahmen!$E$24</definedName>
    <definedName name="__s10">Massnahmen!$E$25</definedName>
    <definedName name="__s11" localSheetId="17">[1]Massnahmen!$E$26</definedName>
    <definedName name="__s11">Massnahmen!$E$27</definedName>
    <definedName name="__s12" localSheetId="17">[1]Massnahmen!$E$28</definedName>
    <definedName name="__s12">Massnahmen!$E$29</definedName>
    <definedName name="__s13" localSheetId="17">[1]Massnahmen!$E$30</definedName>
    <definedName name="__s13">Massnahmen!$E$31</definedName>
    <definedName name="__s14" localSheetId="17">[1]Massnahmen!$E$32</definedName>
    <definedName name="__s14">Massnahmen!$E$33</definedName>
    <definedName name="__s15" localSheetId="17">[1]Massnahmen!$E$34</definedName>
    <definedName name="__s15">Massnahmen!$E$35</definedName>
    <definedName name="__s16" localSheetId="17">[1]Massnahmen!$E$36</definedName>
    <definedName name="__s16">Massnahmen!$E$37</definedName>
    <definedName name="__s17" localSheetId="17">[1]Massnahmen!$E$38</definedName>
    <definedName name="__s17">Massnahmen!$E$39</definedName>
    <definedName name="__s18" localSheetId="17">[1]Massnahmen!$E$40</definedName>
    <definedName name="__s18">Massnahmen!$E$41</definedName>
    <definedName name="__s19" localSheetId="17">[1]Massnahmen!$E$42</definedName>
    <definedName name="__s19">Massnahmen!$E$43</definedName>
    <definedName name="__s2">Massnahmen!$E$9</definedName>
    <definedName name="__s20" localSheetId="17">[1]Massnahmen!$E$44</definedName>
    <definedName name="__s20">Massnahmen!$E$45</definedName>
    <definedName name="__s21" localSheetId="17">[1]Massnahmen!$E$46</definedName>
    <definedName name="__s21">Massnahmen!$E$47</definedName>
    <definedName name="__s22" localSheetId="17">[1]Massnahmen!$E$48</definedName>
    <definedName name="__s22">Massnahmen!$E$49</definedName>
    <definedName name="__s23" localSheetId="17">[1]Massnahmen!$E$50</definedName>
    <definedName name="__s23">Massnahmen!$E$51</definedName>
    <definedName name="__s24" localSheetId="17">[1]Massnahmen!$E$52</definedName>
    <definedName name="__s24">Massnahmen!$E$53</definedName>
    <definedName name="__s25" localSheetId="17">[1]Massnahmen!$E$54</definedName>
    <definedName name="__s25">Massnahmen!$E$55</definedName>
    <definedName name="__s26" localSheetId="17">[1]Massnahmen!$E$56</definedName>
    <definedName name="__s26">Massnahmen!$E$57</definedName>
    <definedName name="__s27" localSheetId="17">[1]Massnahmen!$E$58</definedName>
    <definedName name="__s27">Massnahmen!$E$59</definedName>
    <definedName name="__s28" localSheetId="17">[1]Massnahmen!$E$60</definedName>
    <definedName name="__s28">Massnahmen!$E$61</definedName>
    <definedName name="__s29" localSheetId="17">[1]Massnahmen!$E$62</definedName>
    <definedName name="__s29">Massnahmen!$E$63</definedName>
    <definedName name="__s3" localSheetId="17">[1]Massnahmen!$E$10</definedName>
    <definedName name="__s3">Massnahmen!$E$11</definedName>
    <definedName name="__s30" localSheetId="17">[1]Massnahmen!$E$64</definedName>
    <definedName name="__s30">Massnahmen!$E$65</definedName>
    <definedName name="__s31" localSheetId="17">[1]Massnahmen!$E$66</definedName>
    <definedName name="__s31">Massnahmen!$E$67</definedName>
    <definedName name="__s32" localSheetId="17">[1]Massnahmen!$E$68</definedName>
    <definedName name="__s32">Massnahmen!$E$69</definedName>
    <definedName name="__s33" localSheetId="17">[1]Massnahmen!$E$70</definedName>
    <definedName name="__s33">Massnahmen!$E$71</definedName>
    <definedName name="__s34" localSheetId="17">[1]Massnahmen!$E$72</definedName>
    <definedName name="__s34">Massnahmen!$E$73</definedName>
    <definedName name="__s35" localSheetId="17">[1]Massnahmen!$E$74</definedName>
    <definedName name="__s35">Massnahmen!$E$75</definedName>
    <definedName name="__s36" localSheetId="17">[1]Massnahmen!$E$76</definedName>
    <definedName name="__s36">Massnahmen!$E$77</definedName>
    <definedName name="__s37" localSheetId="17">[1]Massnahmen!$E$78</definedName>
    <definedName name="__s37">Massnahmen!$E$79</definedName>
    <definedName name="__s38" localSheetId="17">[1]Massnahmen!$E$80</definedName>
    <definedName name="__s38">Massnahmen!$E$81</definedName>
    <definedName name="__s39" localSheetId="17">[1]Massnahmen!$E$82</definedName>
    <definedName name="__s39">Massnahmen!$E$83</definedName>
    <definedName name="__s4" localSheetId="17">[1]Massnahmen!$E$12</definedName>
    <definedName name="__s4">Massnahmen!$E$13</definedName>
    <definedName name="__s40" localSheetId="17">[1]Massnahmen!$E$84</definedName>
    <definedName name="__s40">Massnahmen!$E$85</definedName>
    <definedName name="__s5" localSheetId="17">[1]Massnahmen!$E$14</definedName>
    <definedName name="__s5">Massnahmen!$E$15</definedName>
    <definedName name="__s6" localSheetId="17">[1]Massnahmen!$E$16</definedName>
    <definedName name="__s6">Massnahmen!$E$17</definedName>
    <definedName name="__s7" localSheetId="17">[1]Massnahmen!$E$18</definedName>
    <definedName name="__s7">Massnahmen!$E$19</definedName>
    <definedName name="__s8" localSheetId="17">[1]Massnahmen!$E$20</definedName>
    <definedName name="__s8">Massnahmen!$E$21</definedName>
    <definedName name="__s9" localSheetId="17">[1]Massnahmen!$E$22</definedName>
    <definedName name="__s9">Massnahmen!$E$23</definedName>
    <definedName name="_xlnm._FilterDatabase" localSheetId="0" hidden="1">' '!$A$1:$WVO$192</definedName>
    <definedName name="_xlnm._FilterDatabase" localSheetId="7" hidden="1">Massnahmen!$A$6:$U$87</definedName>
    <definedName name="_i1" localSheetId="17">[1]Kennzahlen!$D$7</definedName>
    <definedName name="_i1">Budget!$C$7</definedName>
    <definedName name="_i10" localSheetId="17">[1]Kennzahlen!$D$16</definedName>
    <definedName name="_i10">Budget!$C$16</definedName>
    <definedName name="_i11" localSheetId="17">[1]Kennzahlen!$D$17</definedName>
    <definedName name="_i11">Budget!$C$17</definedName>
    <definedName name="_i12" localSheetId="17">[1]Kennzahlen!$D$18</definedName>
    <definedName name="_i12">Budget!$C$18</definedName>
    <definedName name="_i13" localSheetId="17">[1]Kennzahlen!$D$19</definedName>
    <definedName name="_i13">Budget!$C$19</definedName>
    <definedName name="_i14" localSheetId="17">[1]Kennzahlen!$D$20</definedName>
    <definedName name="_i14">Budget!$C$20</definedName>
    <definedName name="_i15" localSheetId="17">[1]Kennzahlen!$D$21</definedName>
    <definedName name="_i15">Budget!$C$21</definedName>
    <definedName name="_i16" localSheetId="17">[1]Kennzahlen!$D$22</definedName>
    <definedName name="_i16">Budget!$C$22</definedName>
    <definedName name="_i17" localSheetId="17">[1]Kennzahlen!$D$23</definedName>
    <definedName name="_i17">Budget!$C$23</definedName>
    <definedName name="_i18" localSheetId="17">[1]Kennzahlen!$D$24</definedName>
    <definedName name="_i18">Budget!$C$24</definedName>
    <definedName name="_i19" localSheetId="17">[1]Kennzahlen!$D$25</definedName>
    <definedName name="_i19">Budget!$C$25</definedName>
    <definedName name="_i2" localSheetId="17">[1]Kennzahlen!$D$8</definedName>
    <definedName name="_i2">Budget!$C$8</definedName>
    <definedName name="_i20" localSheetId="17">[1]Kennzahlen!$D$26</definedName>
    <definedName name="_i20">Budget!$C$26</definedName>
    <definedName name="_i21" localSheetId="17">[1]Kennzahlen!$D$27</definedName>
    <definedName name="_i21">Budget!$C$27</definedName>
    <definedName name="_i22" localSheetId="17">[1]Kennzahlen!$D$28</definedName>
    <definedName name="_i22">Budget!$C$28</definedName>
    <definedName name="_i23" localSheetId="17">[1]Kennzahlen!$D$29</definedName>
    <definedName name="_i23">Budget!$C$29</definedName>
    <definedName name="_i24" localSheetId="17">[1]Kennzahlen!$D$30</definedName>
    <definedName name="_i24">Budget!$C$30</definedName>
    <definedName name="_i25" localSheetId="17">[1]Kennzahlen!$D$31</definedName>
    <definedName name="_i25">Budget!$C$31</definedName>
    <definedName name="_i26" localSheetId="17">[1]Kennzahlen!$D$32</definedName>
    <definedName name="_i26">Budget!$C$32</definedName>
    <definedName name="_i27" localSheetId="17">[1]Kennzahlen!$D$33</definedName>
    <definedName name="_i27">Budget!$C$33</definedName>
    <definedName name="_i28" localSheetId="17">[1]Kennzahlen!$D$34</definedName>
    <definedName name="_i28">Budget!$C$34</definedName>
    <definedName name="_i29" localSheetId="17">[1]Kennzahlen!$D$35</definedName>
    <definedName name="_i29">Budget!$C$35</definedName>
    <definedName name="_i3" localSheetId="17">[1]Kennzahlen!$D$9</definedName>
    <definedName name="_i3">Budget!$C$9</definedName>
    <definedName name="_i30" localSheetId="17">[1]Kennzahlen!$D$36</definedName>
    <definedName name="_i30">Budget!$C$36</definedName>
    <definedName name="_i31" localSheetId="17">[1]Kennzahlen!$D$37</definedName>
    <definedName name="_i31">Budget!$C$37</definedName>
    <definedName name="_i32" localSheetId="17">[1]Kennzahlen!$D$38</definedName>
    <definedName name="_i32">Budget!$C$38</definedName>
    <definedName name="_i33" localSheetId="17">[1]Kennzahlen!$D$39</definedName>
    <definedName name="_i33">Budget!$C$39</definedName>
    <definedName name="_i34" localSheetId="17">[1]Kennzahlen!$D$40</definedName>
    <definedName name="_i34">Budget!$C$40</definedName>
    <definedName name="_i35" localSheetId="17">[1]Kennzahlen!$D$41</definedName>
    <definedName name="_i35">Budget!$C$41</definedName>
    <definedName name="_i36" localSheetId="17">[1]Kennzahlen!$D$42</definedName>
    <definedName name="_i36">Budget!$C$42</definedName>
    <definedName name="_i37" localSheetId="17">[1]Kennzahlen!$D$43</definedName>
    <definedName name="_i37">Budget!$C$43</definedName>
    <definedName name="_i38" localSheetId="17">[1]Kennzahlen!$D$44</definedName>
    <definedName name="_i38">Budget!$C$44</definedName>
    <definedName name="_i39" localSheetId="17">[1]Kennzahlen!$D$45</definedName>
    <definedName name="_i39">Budget!$C$45</definedName>
    <definedName name="_i4" localSheetId="17">[1]Kennzahlen!$D$10</definedName>
    <definedName name="_i4">Budget!$C$10</definedName>
    <definedName name="_i40" localSheetId="17">[1]Kennzahlen!$D$46</definedName>
    <definedName name="_i40">Budget!$C$46</definedName>
    <definedName name="_i41" localSheetId="17">[1]Kennzahlen!$D$47</definedName>
    <definedName name="_i41">Budget!$C$47</definedName>
    <definedName name="_i42" localSheetId="17">[1]Kennzahlen!$D$48</definedName>
    <definedName name="_i42">Budget!$C$48</definedName>
    <definedName name="_i43" localSheetId="17">[1]Kennzahlen!$D$49</definedName>
    <definedName name="_i43">Budget!$C$49</definedName>
    <definedName name="_i44" localSheetId="17">[1]Kennzahlen!$D$50</definedName>
    <definedName name="_i44">Budget!$C$50</definedName>
    <definedName name="_i45" localSheetId="17">[1]Kennzahlen!$D$51</definedName>
    <definedName name="_i45">Budget!$C$51</definedName>
    <definedName name="_i46" localSheetId="17">[1]Kennzahlen!$D$52</definedName>
    <definedName name="_i46">Budget!$C$52</definedName>
    <definedName name="_i47" localSheetId="17">[1]Kennzahlen!$D$53</definedName>
    <definedName name="_i47">Budget!$C$53</definedName>
    <definedName name="_i48" localSheetId="17">[1]Kennzahlen!$D$54</definedName>
    <definedName name="_i48">Budget!$C$54</definedName>
    <definedName name="_i49" localSheetId="17">[1]Kennzahlen!$D$55</definedName>
    <definedName name="_i49">Budget!$C$55</definedName>
    <definedName name="_i5" localSheetId="17">[1]Kennzahlen!$D$11</definedName>
    <definedName name="_i5">Budget!$C$11</definedName>
    <definedName name="_i50" localSheetId="17">[1]Kennzahlen!$D$56</definedName>
    <definedName name="_i50">Budget!$C$56</definedName>
    <definedName name="_i51" localSheetId="17">[1]Kennzahlen!$D$57</definedName>
    <definedName name="_i51">Budget!$C$57</definedName>
    <definedName name="_i52" localSheetId="17">[1]Kennzahlen!$D$58</definedName>
    <definedName name="_i52">Budget!$C$58</definedName>
    <definedName name="_i53" localSheetId="17">[1]Kennzahlen!$D$59</definedName>
    <definedName name="_i53">Budget!$C$59</definedName>
    <definedName name="_i54" localSheetId="17">[1]Kennzahlen!$D$60</definedName>
    <definedName name="_i54">Budget!$C$60</definedName>
    <definedName name="_i55" localSheetId="17">[1]Kennzahlen!$D$61</definedName>
    <definedName name="_i55">Budget!$C$61</definedName>
    <definedName name="_i56" localSheetId="17">[1]Kennzahlen!$D$62</definedName>
    <definedName name="_i56">Budget!$C$62</definedName>
    <definedName name="_i57" localSheetId="17">[1]Kennzahlen!$D$63</definedName>
    <definedName name="_i57">Budget!$C$63</definedName>
    <definedName name="_i58" localSheetId="17">[1]Kennzahlen!$D$64</definedName>
    <definedName name="_i58">Budget!$C$64</definedName>
    <definedName name="_i59" localSheetId="17">[1]Kennzahlen!$D$65</definedName>
    <definedName name="_i59">Budget!$C$65</definedName>
    <definedName name="_i6" localSheetId="17">[1]Kennzahlen!$D$12</definedName>
    <definedName name="_i6">Budget!$C$12</definedName>
    <definedName name="_i60" localSheetId="17">[1]Kennzahlen!$D$66</definedName>
    <definedName name="_i60">Budget!$C$66</definedName>
    <definedName name="_i7" localSheetId="17">[1]Kennzahlen!$D$13</definedName>
    <definedName name="_i7">Budget!$C$13</definedName>
    <definedName name="_i8" localSheetId="17">[1]Kennzahlen!$D$14</definedName>
    <definedName name="_i8">Budget!$C$14</definedName>
    <definedName name="_i9" localSheetId="17">[1]Kennzahlen!$D$15</definedName>
    <definedName name="_i9">Budget!$C$15</definedName>
    <definedName name="_o1" localSheetId="17">[1]Massnahmen!$P$6</definedName>
    <definedName name="_o1">Massnahmen!$P$7</definedName>
    <definedName name="_o10" localSheetId="17">[1]Massnahmen!$P$15</definedName>
    <definedName name="_o10">Massnahmen!$P$16</definedName>
    <definedName name="_o11" localSheetId="17">[1]Massnahmen!$P$16</definedName>
    <definedName name="_o11">Massnahmen!$P$17</definedName>
    <definedName name="_o12" localSheetId="17">[1]Massnahmen!$P$17</definedName>
    <definedName name="_o12">Massnahmen!$P$18</definedName>
    <definedName name="_o13" localSheetId="17">[1]Massnahmen!$P$18</definedName>
    <definedName name="_o13">Massnahmen!$P$19</definedName>
    <definedName name="_o14" localSheetId="17">[1]Massnahmen!$P$19</definedName>
    <definedName name="_o14">Massnahmen!$P$20</definedName>
    <definedName name="_o15" localSheetId="17">[1]Massnahmen!$P$20</definedName>
    <definedName name="_o15">Massnahmen!$P$21</definedName>
    <definedName name="_o16" localSheetId="17">[1]Massnahmen!$P$21</definedName>
    <definedName name="_o16">Massnahmen!$P$22</definedName>
    <definedName name="_o17" localSheetId="17">[1]Massnahmen!$P$22</definedName>
    <definedName name="_o17">Massnahmen!$P$23</definedName>
    <definedName name="_o18" localSheetId="17">[1]Massnahmen!$P$23</definedName>
    <definedName name="_o18">Massnahmen!$P$24</definedName>
    <definedName name="_o19" localSheetId="17">[1]Massnahmen!$P$24</definedName>
    <definedName name="_o19">Massnahmen!$P$25</definedName>
    <definedName name="_o2" localSheetId="17">[1]Massnahmen!$P$7</definedName>
    <definedName name="_o2">Massnahmen!$P$8</definedName>
    <definedName name="_o20" localSheetId="17">[1]Massnahmen!$P$25</definedName>
    <definedName name="_o20">Massnahmen!$P$26</definedName>
    <definedName name="_o21" localSheetId="17">[1]Massnahmen!$P$26</definedName>
    <definedName name="_o21">Massnahmen!$P$27</definedName>
    <definedName name="_o22" localSheetId="17">[1]Massnahmen!$P$27</definedName>
    <definedName name="_o22">Massnahmen!$P$28</definedName>
    <definedName name="_o23" localSheetId="17">[1]Massnahmen!$P$28</definedName>
    <definedName name="_o23">Massnahmen!$P$29</definedName>
    <definedName name="_o24" localSheetId="17">[1]Massnahmen!$P$29</definedName>
    <definedName name="_o24">Massnahmen!$P$30</definedName>
    <definedName name="_o25" localSheetId="17">[1]Massnahmen!$P$30</definedName>
    <definedName name="_o25">Massnahmen!$P$31</definedName>
    <definedName name="_o26" localSheetId="17">[1]Massnahmen!$P$31</definedName>
    <definedName name="_o26">Massnahmen!$P$32</definedName>
    <definedName name="_o27" localSheetId="17">[1]Massnahmen!$P$32</definedName>
    <definedName name="_o27">Massnahmen!$P$33</definedName>
    <definedName name="_o28" localSheetId="17">[1]Massnahmen!$P$33</definedName>
    <definedName name="_o28">Massnahmen!$P$34</definedName>
    <definedName name="_o29" localSheetId="17">[1]Massnahmen!$P$34</definedName>
    <definedName name="_o29">Massnahmen!$P$35</definedName>
    <definedName name="_o3" localSheetId="17">[1]Massnahmen!$P$8</definedName>
    <definedName name="_o3">Massnahmen!$P$9</definedName>
    <definedName name="_o30" localSheetId="17">[1]Massnahmen!$P$35</definedName>
    <definedName name="_o30">Massnahmen!$P$36</definedName>
    <definedName name="_o31" localSheetId="17">[1]Massnahmen!$P$36</definedName>
    <definedName name="_o31">Massnahmen!$P$37</definedName>
    <definedName name="_o32" localSheetId="17">[1]Massnahmen!$P$37</definedName>
    <definedName name="_o32">Massnahmen!$P$38</definedName>
    <definedName name="_o33" localSheetId="17">[1]Massnahmen!$P$38</definedName>
    <definedName name="_o33">Massnahmen!$P$39</definedName>
    <definedName name="_o34" localSheetId="17">[1]Massnahmen!$P$39</definedName>
    <definedName name="_o34">Massnahmen!$P$40</definedName>
    <definedName name="_o35" localSheetId="17">[1]Massnahmen!$P$40</definedName>
    <definedName name="_o35">Massnahmen!$P$41</definedName>
    <definedName name="_o36" localSheetId="17">[1]Massnahmen!$P$41</definedName>
    <definedName name="_o36">Massnahmen!$P$42</definedName>
    <definedName name="_o37" localSheetId="17">[1]Massnahmen!$P$42</definedName>
    <definedName name="_o37">Massnahmen!$P$43</definedName>
    <definedName name="_o38" localSheetId="17">[1]Massnahmen!$P$43</definedName>
    <definedName name="_o38">Massnahmen!$P$44</definedName>
    <definedName name="_o39" localSheetId="17">[1]Massnahmen!$P$44</definedName>
    <definedName name="_o39">Massnahmen!$P$45</definedName>
    <definedName name="_o4" localSheetId="17">[1]Massnahmen!$P$9</definedName>
    <definedName name="_o4">Massnahmen!$P$10</definedName>
    <definedName name="_o40" localSheetId="17">[1]Massnahmen!$P$45</definedName>
    <definedName name="_o40">Massnahmen!$P$46</definedName>
    <definedName name="_o41" localSheetId="17">[1]Massnahmen!$P$46</definedName>
    <definedName name="_o41">Massnahmen!$P$47</definedName>
    <definedName name="_o42" localSheetId="17">[1]Massnahmen!$P$47</definedName>
    <definedName name="_o42">Massnahmen!$P$48</definedName>
    <definedName name="_o43" localSheetId="17">[1]Massnahmen!$P$48</definedName>
    <definedName name="_o43">Massnahmen!$P$49</definedName>
    <definedName name="_o44" localSheetId="17">[1]Massnahmen!$P$49</definedName>
    <definedName name="_o44">Massnahmen!$P$50</definedName>
    <definedName name="_o45" localSheetId="17">[1]Massnahmen!$P$50</definedName>
    <definedName name="_o45">Massnahmen!$P$51</definedName>
    <definedName name="_o46" localSheetId="17">[1]Massnahmen!$P$51</definedName>
    <definedName name="_o46">Massnahmen!$P$52</definedName>
    <definedName name="_o47" localSheetId="17">[1]Massnahmen!$P$52</definedName>
    <definedName name="_o47">Massnahmen!$P$53</definedName>
    <definedName name="_o48" localSheetId="17">[1]Massnahmen!$P$53</definedName>
    <definedName name="_o48">Massnahmen!$P$54</definedName>
    <definedName name="_o49" localSheetId="17">[1]Massnahmen!$P$54</definedName>
    <definedName name="_o49">Massnahmen!$P$55</definedName>
    <definedName name="_o5" localSheetId="17">[1]Massnahmen!$P$10</definedName>
    <definedName name="_o5">Massnahmen!$P$11</definedName>
    <definedName name="_o50" localSheetId="17">[1]Massnahmen!$P$55</definedName>
    <definedName name="_o50">Massnahmen!$P$56</definedName>
    <definedName name="_o51" localSheetId="17">[1]Massnahmen!$P$56</definedName>
    <definedName name="_o51">Massnahmen!$P$57</definedName>
    <definedName name="_o52" localSheetId="17">[1]Massnahmen!$P$57</definedName>
    <definedName name="_o52">Massnahmen!$P$58</definedName>
    <definedName name="_o53" localSheetId="17">[1]Massnahmen!$P$58</definedName>
    <definedName name="_o53">Massnahmen!$P$59</definedName>
    <definedName name="_o54" localSheetId="17">[1]Massnahmen!$P$59</definedName>
    <definedName name="_o54">Massnahmen!$P$60</definedName>
    <definedName name="_o55" localSheetId="17">[1]Massnahmen!$P$60</definedName>
    <definedName name="_o55">Massnahmen!$P$61</definedName>
    <definedName name="_o56" localSheetId="17">[1]Massnahmen!$P$61</definedName>
    <definedName name="_o56">Massnahmen!$P$62</definedName>
    <definedName name="_o57" localSheetId="17">[1]Massnahmen!$P$62</definedName>
    <definedName name="_o57">Massnahmen!$P$63</definedName>
    <definedName name="_o58" localSheetId="17">[1]Massnahmen!$P$63</definedName>
    <definedName name="_o58">Massnahmen!$P$64</definedName>
    <definedName name="_o59" localSheetId="17">[1]Massnahmen!$P$64</definedName>
    <definedName name="_o59">Massnahmen!$P$65</definedName>
    <definedName name="_o6" localSheetId="17">[1]Massnahmen!$P$11</definedName>
    <definedName name="_o6">Massnahmen!$P$12</definedName>
    <definedName name="_o60" localSheetId="17">[1]Massnahmen!$P$65</definedName>
    <definedName name="_o60">Massnahmen!$P$66</definedName>
    <definedName name="_o61" localSheetId="17">[1]Massnahmen!$P$66</definedName>
    <definedName name="_o61">Massnahmen!$P$67</definedName>
    <definedName name="_o62" localSheetId="17">[1]Massnahmen!$P$67</definedName>
    <definedName name="_o62">Massnahmen!$P$68</definedName>
    <definedName name="_o63" localSheetId="17">[1]Massnahmen!$P$68</definedName>
    <definedName name="_o63">Massnahmen!$P$69</definedName>
    <definedName name="_o64" localSheetId="17">[1]Massnahmen!$P$69</definedName>
    <definedName name="_o64">Massnahmen!$P$70</definedName>
    <definedName name="_o65" localSheetId="17">[1]Massnahmen!$P$70</definedName>
    <definedName name="_o65">Massnahmen!$P$71</definedName>
    <definedName name="_o66" localSheetId="17">[1]Massnahmen!$P$71</definedName>
    <definedName name="_o66">Massnahmen!$P$72</definedName>
    <definedName name="_o67" localSheetId="17">[1]Massnahmen!$P$72</definedName>
    <definedName name="_o67">Massnahmen!$P$73</definedName>
    <definedName name="_o68" localSheetId="17">[1]Massnahmen!$P$73</definedName>
    <definedName name="_o68">Massnahmen!$P$74</definedName>
    <definedName name="_o69" localSheetId="17">[1]Massnahmen!$P$74</definedName>
    <definedName name="_o69">Massnahmen!$P$75</definedName>
    <definedName name="_o7" localSheetId="17">[1]Massnahmen!$P$12</definedName>
    <definedName name="_o7">Massnahmen!$P$13</definedName>
    <definedName name="_o70" localSheetId="17">[1]Massnahmen!$P$75</definedName>
    <definedName name="_o70">Massnahmen!$P$76</definedName>
    <definedName name="_o71" localSheetId="17">[1]Massnahmen!$P$76</definedName>
    <definedName name="_o71">Massnahmen!$P$77</definedName>
    <definedName name="_o72" localSheetId="17">[1]Massnahmen!$P$77</definedName>
    <definedName name="_o72">Massnahmen!$P$78</definedName>
    <definedName name="_o73" localSheetId="17">[1]Massnahmen!$P$78</definedName>
    <definedName name="_o73">Massnahmen!$P$79</definedName>
    <definedName name="_o74" localSheetId="17">[1]Massnahmen!$P$79</definedName>
    <definedName name="_o74">Massnahmen!$P$80</definedName>
    <definedName name="_o75" localSheetId="17">[1]Massnahmen!$P$80</definedName>
    <definedName name="_o75">Massnahmen!$P$81</definedName>
    <definedName name="_o76" localSheetId="17">[1]Massnahmen!$P$81</definedName>
    <definedName name="_o76">Massnahmen!$P$82</definedName>
    <definedName name="_o77" localSheetId="17">[1]Massnahmen!$P$82</definedName>
    <definedName name="_o77">Massnahmen!$P$83</definedName>
    <definedName name="_o78" localSheetId="17">[1]Massnahmen!$P$83</definedName>
    <definedName name="_o78">Massnahmen!$P$84</definedName>
    <definedName name="_o79" localSheetId="17">[1]Massnahmen!$P$84</definedName>
    <definedName name="_o79">Massnahmen!$P$85</definedName>
    <definedName name="_o8" localSheetId="17">[1]Massnahmen!$P$13</definedName>
    <definedName name="_o8">Massnahmen!$P$14</definedName>
    <definedName name="_o80" localSheetId="17">[1]Massnahmen!$P$85</definedName>
    <definedName name="_o80">Massnahmen!$P$86</definedName>
    <definedName name="_o9" localSheetId="17">[1]Massnahmen!$P$14</definedName>
    <definedName name="_o9">Massnahmen!$P$15</definedName>
    <definedName name="_s1">sIndikatoren!$A$5</definedName>
    <definedName name="_s10">sIndikatoren!$A$113</definedName>
    <definedName name="_s11">sIndikatoren!$A$125</definedName>
    <definedName name="_s12">sIndikatoren!$A$137</definedName>
    <definedName name="_s13">sIndikatoren!$A$149</definedName>
    <definedName name="_s14">sIndikatoren!$A$161</definedName>
    <definedName name="_s15">sIndikatoren!$A$173</definedName>
    <definedName name="_s16">sIndikatoren!$A$185</definedName>
    <definedName name="_s17">sIndikatoren!$A$197</definedName>
    <definedName name="_s18">sIndikatoren!$A$209</definedName>
    <definedName name="_s19">sIndikatoren!$A$221</definedName>
    <definedName name="_s2">sIndikatoren!$A$17</definedName>
    <definedName name="_s20">sIndikatoren!$A$233</definedName>
    <definedName name="_s21">sIndikatoren!$A$245</definedName>
    <definedName name="_s22">sIndikatoren!$A$257</definedName>
    <definedName name="_s23">sIndikatoren!$A$269</definedName>
    <definedName name="_s24">sIndikatoren!$A$281</definedName>
    <definedName name="_s25">sIndikatoren!$A$293</definedName>
    <definedName name="_s26">sIndikatoren!$A$305</definedName>
    <definedName name="_s27">sIndikatoren!$A$317</definedName>
    <definedName name="_s28">sIndikatoren!$A$329</definedName>
    <definedName name="_s29">sIndikatoren!$A$341</definedName>
    <definedName name="_s3">sIndikatoren!$A$29</definedName>
    <definedName name="_s30">sIndikatoren!$A$353</definedName>
    <definedName name="_s31">sIndikatoren!$A$365</definedName>
    <definedName name="_s32">sIndikatoren!$A$377</definedName>
    <definedName name="_s33">sIndikatoren!$A$389</definedName>
    <definedName name="_s34">sIndikatoren!$A$401</definedName>
    <definedName name="_s35">sIndikatoren!$A$413</definedName>
    <definedName name="_s36">sIndikatoren!$A$425</definedName>
    <definedName name="_s37">sIndikatoren!$A$437</definedName>
    <definedName name="_s38">sIndikatoren!$A$449</definedName>
    <definedName name="_s39">sIndikatoren!$A$461</definedName>
    <definedName name="_s4">sIndikatoren!$A$41</definedName>
    <definedName name="_s40">sIndikatoren!$A$473</definedName>
    <definedName name="_s5">sIndikatoren!$A$53</definedName>
    <definedName name="_s6">sIndikatoren!$A$65</definedName>
    <definedName name="_s7">sIndikatoren!$A$77</definedName>
    <definedName name="_s8">sIndikatoren!$A$89</definedName>
    <definedName name="_s9">sIndikatoren!$A$101</definedName>
    <definedName name="Bars" localSheetId="2">OFFSET([2]Pareto!$F$5,0,0,COUNT([2]Pareto!$F:$F))</definedName>
    <definedName name="Bars">OFFSET([3]Pareto!$F$7,0,0,COUNT([3]Pareto!$F:$F))</definedName>
    <definedName name="Datum" localSheetId="17">'[4] '!$Z$4</definedName>
    <definedName name="Datum">' '!$Z$4</definedName>
    <definedName name="_xlnm.Print_Area" localSheetId="16">'2Cockpit'!$B$1:$H$34</definedName>
    <definedName name="_xlnm.Print_Area" localSheetId="6">Benchmark!$B$1:$I$36</definedName>
    <definedName name="_xlnm.Print_Area" localSheetId="13">Budget!$B$1:$P$95</definedName>
    <definedName name="_xlnm.Print_Area" localSheetId="9">Distribution!$B$1:$G$28</definedName>
    <definedName name="_xlnm.Print_Area" localSheetId="10">Empathy!$B$1:$L$39</definedName>
    <definedName name="_xlnm.Print_Area" localSheetId="12">Kommunikation!$B$1:$H$84</definedName>
    <definedName name="_xlnm.Print_Area" localSheetId="2">Kommunikationsquadrat!$A$1:$R$28</definedName>
    <definedName name="_xlnm.Print_Area" localSheetId="7">Massnahmen!$B$1:$U$87</definedName>
    <definedName name="_xlnm.Print_Area" localSheetId="15">oIndikatoren!$C$1:$F$964</definedName>
    <definedName name="_xlnm.Print_Area" localSheetId="4">PESTLE!$B$1:$H$97</definedName>
    <definedName name="_xlnm.Print_Area" localSheetId="11">Risikomgmt!$B$1:$I$56</definedName>
    <definedName name="_xlnm.Print_Area" localSheetId="14">sIndikatoren!$C$1:$F$484</definedName>
    <definedName name="_xlnm.Print_Area" localSheetId="3">Stakeholder!$B$1:$J$75</definedName>
    <definedName name="_xlnm.Print_Area" localSheetId="5">'Swot-Analyse'!$B$1:$H$43</definedName>
    <definedName name="_xlnm.Print_Area" localSheetId="8">Zielgruppe!$B$1:$I$58</definedName>
    <definedName name="_xlnm.Print_Titles" localSheetId="16">'2Cockpit'!$1:$1</definedName>
    <definedName name="_xlnm.Print_Titles" localSheetId="13">Budget!$5:$6</definedName>
    <definedName name="_xlnm.Print_Titles" localSheetId="10">Empathy!$1:$1</definedName>
    <definedName name="_xlnm.Print_Titles" localSheetId="7">Massnahmen!$1:$6</definedName>
    <definedName name="_xlnm.Print_Titles" localSheetId="3">Stakeholder!$1:$2</definedName>
    <definedName name="durchAlterDerMA" localSheetId="14">sIndikatoren!$D$5</definedName>
    <definedName name="graph_2_stakeholder">Stakeholder!$A$76</definedName>
    <definedName name="graph_pestel">PESTLE!$A$124</definedName>
    <definedName name="Graph_Produkte">Zielgruppe!$A$59</definedName>
    <definedName name="Graph_Risk">Risikomgmt!$A$55</definedName>
    <definedName name="graph_stakeholder">Stakeholder!$A$50</definedName>
    <definedName name="Note_Arbeit">[2]BewertungArbeit!$W$5</definedName>
    <definedName name="Note_Praesentation">[2]BewertungPras!$W$4</definedName>
    <definedName name="paretoXaxis" localSheetId="2">OFFSET([2]Pareto!$E$5,0,0,COUNT([2]Pareto!$F:$F))</definedName>
    <definedName name="paretoXaxis">OFFSET([3]Pareto!$E$7,0,0,COUNT([3]Pareto!$F:$F))</definedName>
    <definedName name="Percentage" localSheetId="2">OFFSET([2]Pareto!$H$5,0,0,COUNT([2]Pareto!$F:$F))</definedName>
    <definedName name="Percentage">OFFSET([3]Pareto!$H$7,0,0,COUNT([3]Pareto!$F:$F))</definedName>
    <definedName name="Sprachen">' '!$C$3:$G$3</definedName>
    <definedName name="Strategie_1">Massnahmen!$C$7</definedName>
    <definedName name="Strategie_10">Massnahmen!$C$79</definedName>
    <definedName name="Strategie_2">Massnahmen!$C$15</definedName>
    <definedName name="Strategie_3">Massnahmen!$C$23</definedName>
    <definedName name="Strategie_4">Massnahmen!$C$31</definedName>
    <definedName name="Strategie_5">Massnahmen!$C$39</definedName>
    <definedName name="Strategie_6">Massnahmen!$C$47</definedName>
    <definedName name="Strategie_7">Massnahmen!$C$55</definedName>
    <definedName name="Strategie_8">Massnahmen!$C$63</definedName>
    <definedName name="Strategie_9">Massnahmen!$C$71</definedName>
    <definedName name="top">PESTLE!$A$2</definedName>
    <definedName name="top_distribution" localSheetId="9">Distribution!$A$2</definedName>
    <definedName name="top_kennzahlen" localSheetId="16">'2Cockpit'!$A$2</definedName>
    <definedName name="top_markt" localSheetId="9">Distribution!$A$2</definedName>
    <definedName name="top_markt" localSheetId="10">Empathy!$A$2</definedName>
    <definedName name="top_massnahmen">Massnahmen!$A$2</definedName>
    <definedName name="top_Porter" localSheetId="12">Kommunikation!$A$2</definedName>
    <definedName name="top_swot">'Swot-Analyse'!$A$2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82" l="1"/>
  <c r="I83" i="127"/>
  <c r="I82" i="127"/>
  <c r="I81" i="127"/>
  <c r="I80" i="127"/>
  <c r="I79" i="127"/>
  <c r="I78" i="127"/>
  <c r="I77" i="127"/>
  <c r="I76" i="127"/>
  <c r="I75" i="127"/>
  <c r="I74" i="127"/>
  <c r="I70" i="127"/>
  <c r="I69" i="127"/>
  <c r="I68" i="127"/>
  <c r="I67" i="127"/>
  <c r="I66" i="127"/>
  <c r="I65" i="127"/>
  <c r="I64" i="127"/>
  <c r="I63" i="127"/>
  <c r="I62" i="127"/>
  <c r="I61" i="127"/>
  <c r="I57" i="127"/>
  <c r="I56" i="127"/>
  <c r="I55" i="127"/>
  <c r="I54" i="127"/>
  <c r="I53" i="127"/>
  <c r="I52" i="127"/>
  <c r="I51" i="127"/>
  <c r="I50" i="127"/>
  <c r="I49" i="127"/>
  <c r="I48" i="127"/>
  <c r="I44" i="127"/>
  <c r="I43" i="127"/>
  <c r="I42" i="127"/>
  <c r="I41" i="127"/>
  <c r="I40" i="127"/>
  <c r="I39" i="127"/>
  <c r="I38" i="127"/>
  <c r="I37" i="127"/>
  <c r="I36" i="127"/>
  <c r="I35" i="127"/>
  <c r="I31" i="127"/>
  <c r="I30" i="127"/>
  <c r="I29" i="127"/>
  <c r="I28" i="127"/>
  <c r="I27" i="127"/>
  <c r="I26" i="127"/>
  <c r="I25" i="127"/>
  <c r="I24" i="127"/>
  <c r="I23" i="127"/>
  <c r="I22" i="127"/>
  <c r="I18" i="127"/>
  <c r="I17" i="127"/>
  <c r="I16" i="127"/>
  <c r="I15" i="127"/>
  <c r="I14" i="127"/>
  <c r="I13" i="127"/>
  <c r="I12" i="127"/>
  <c r="I11" i="127"/>
  <c r="I10" i="127"/>
  <c r="I9" i="127"/>
  <c r="R66" i="124"/>
  <c r="Q66" i="124"/>
  <c r="F66" i="124"/>
  <c r="I66" i="124"/>
  <c r="J66" i="124"/>
  <c r="K66" i="124"/>
  <c r="L66" i="124"/>
  <c r="M66" i="124"/>
  <c r="N66" i="124"/>
  <c r="O66" i="124"/>
  <c r="P66" i="124"/>
  <c r="G66" i="124"/>
  <c r="E14" i="124"/>
  <c r="E15" i="124"/>
  <c r="E16" i="124"/>
  <c r="E17" i="124"/>
  <c r="E18" i="124"/>
  <c r="E19" i="124"/>
  <c r="E20" i="124"/>
  <c r="E21" i="124"/>
  <c r="E22" i="124"/>
  <c r="E23" i="124"/>
  <c r="E24" i="124"/>
  <c r="E25" i="124"/>
  <c r="E26" i="124"/>
  <c r="E33" i="124"/>
  <c r="E34" i="124"/>
  <c r="E35" i="124"/>
  <c r="E36" i="124"/>
  <c r="E37" i="124"/>
  <c r="E38" i="124"/>
  <c r="E39" i="124"/>
  <c r="E40" i="124"/>
  <c r="E47" i="124"/>
  <c r="E48" i="124"/>
  <c r="E49" i="124"/>
  <c r="E50" i="124"/>
  <c r="E63" i="124"/>
  <c r="E64" i="124"/>
  <c r="D14" i="124"/>
  <c r="D15" i="124"/>
  <c r="D16" i="124"/>
  <c r="D17" i="124"/>
  <c r="D18" i="124"/>
  <c r="S15" i="124"/>
  <c r="T15" i="124" s="1"/>
  <c r="S16" i="124"/>
  <c r="T16" i="124" s="1"/>
  <c r="S17" i="124"/>
  <c r="T17" i="124" s="1"/>
  <c r="S18" i="124"/>
  <c r="T18" i="124" s="1"/>
  <c r="S19" i="124"/>
  <c r="T19" i="124" s="1"/>
  <c r="S20" i="124"/>
  <c r="T20" i="124" s="1"/>
  <c r="S21" i="124"/>
  <c r="T21" i="124" s="1"/>
  <c r="S22" i="124"/>
  <c r="T22" i="124" s="1"/>
  <c r="S23" i="124"/>
  <c r="T23" i="124" s="1"/>
  <c r="S24" i="124"/>
  <c r="T24" i="124" s="1"/>
  <c r="S25" i="124"/>
  <c r="T25" i="124" s="1"/>
  <c r="S26" i="124"/>
  <c r="T26" i="124" s="1"/>
  <c r="S33" i="124"/>
  <c r="T33" i="124" s="1"/>
  <c r="S34" i="124"/>
  <c r="T34" i="124" s="1"/>
  <c r="S35" i="124"/>
  <c r="T35" i="124" s="1"/>
  <c r="S36" i="124"/>
  <c r="T36" i="124" s="1"/>
  <c r="S37" i="124"/>
  <c r="T37" i="124" s="1"/>
  <c r="S38" i="124"/>
  <c r="T38" i="124" s="1"/>
  <c r="S39" i="124"/>
  <c r="T39" i="124" s="1"/>
  <c r="S40" i="124"/>
  <c r="T40" i="124" s="1"/>
  <c r="S47" i="124"/>
  <c r="T47" i="124" s="1"/>
  <c r="S48" i="124"/>
  <c r="T48" i="124" s="1"/>
  <c r="S49" i="124"/>
  <c r="T49" i="124" s="1"/>
  <c r="S50" i="124"/>
  <c r="T50" i="124" s="1"/>
  <c r="S63" i="124"/>
  <c r="T63" i="124" s="1"/>
  <c r="S64" i="124"/>
  <c r="T64" i="124" s="1"/>
  <c r="S65" i="124"/>
  <c r="T65" i="124" s="1"/>
  <c r="E65" i="124"/>
  <c r="S14" i="124"/>
  <c r="T14" i="124" s="1"/>
  <c r="R9" i="124"/>
  <c r="R10" i="124"/>
  <c r="R11" i="124"/>
  <c r="R12" i="124"/>
  <c r="R13" i="124"/>
  <c r="R14" i="124"/>
  <c r="R15" i="124"/>
  <c r="R16" i="124"/>
  <c r="R17" i="124"/>
  <c r="R18" i="124"/>
  <c r="R19" i="124"/>
  <c r="R20" i="124"/>
  <c r="R21" i="124"/>
  <c r="R22" i="124"/>
  <c r="R23" i="124"/>
  <c r="R24" i="124"/>
  <c r="R25" i="124"/>
  <c r="R26" i="124"/>
  <c r="R27" i="124"/>
  <c r="R28" i="124"/>
  <c r="R29" i="124"/>
  <c r="R30" i="124"/>
  <c r="R31" i="124"/>
  <c r="R32" i="124"/>
  <c r="R33" i="124"/>
  <c r="R34" i="124"/>
  <c r="R35" i="124"/>
  <c r="R36" i="124"/>
  <c r="R37" i="124"/>
  <c r="R38" i="124"/>
  <c r="R39" i="124"/>
  <c r="R40" i="124"/>
  <c r="R41" i="124"/>
  <c r="R42" i="124"/>
  <c r="R43" i="124"/>
  <c r="R44" i="124"/>
  <c r="R45" i="124"/>
  <c r="R46" i="124"/>
  <c r="R47" i="124"/>
  <c r="R48" i="124"/>
  <c r="R49" i="124"/>
  <c r="R50" i="124"/>
  <c r="R51" i="124"/>
  <c r="R52" i="124"/>
  <c r="R53" i="124"/>
  <c r="R54" i="124"/>
  <c r="R55" i="124"/>
  <c r="R56" i="124"/>
  <c r="R57" i="124"/>
  <c r="R58" i="124"/>
  <c r="R59" i="124"/>
  <c r="R60" i="124"/>
  <c r="R61" i="124"/>
  <c r="R62" i="124"/>
  <c r="R63" i="124"/>
  <c r="R64" i="124"/>
  <c r="R65" i="124"/>
  <c r="R7" i="124"/>
  <c r="E57" i="124"/>
  <c r="B210" i="124"/>
  <c r="B209" i="124"/>
  <c r="B208" i="124"/>
  <c r="B207" i="124"/>
  <c r="B206" i="124"/>
  <c r="B205" i="124"/>
  <c r="B204" i="124"/>
  <c r="B203" i="124"/>
  <c r="B202" i="124"/>
  <c r="B201" i="124"/>
  <c r="B200" i="124"/>
  <c r="B199" i="124"/>
  <c r="B198" i="124"/>
  <c r="B197" i="124"/>
  <c r="B196" i="124"/>
  <c r="B195" i="124"/>
  <c r="B194" i="124"/>
  <c r="B193" i="124"/>
  <c r="B192" i="124"/>
  <c r="B191" i="124"/>
  <c r="B190" i="124"/>
  <c r="B189" i="124"/>
  <c r="B188" i="124"/>
  <c r="B187" i="124"/>
  <c r="B186" i="124"/>
  <c r="B185" i="124"/>
  <c r="B184" i="124"/>
  <c r="B183" i="124"/>
  <c r="B182" i="124"/>
  <c r="B181" i="124"/>
  <c r="Q65" i="124"/>
  <c r="D65" i="124"/>
  <c r="Q64" i="124"/>
  <c r="D64" i="124"/>
  <c r="Q63" i="124"/>
  <c r="D63" i="124"/>
  <c r="Q62" i="124"/>
  <c r="Q61" i="124"/>
  <c r="Q60" i="124"/>
  <c r="Q59" i="124"/>
  <c r="Q58" i="124"/>
  <c r="Q57" i="124"/>
  <c r="Q56" i="124"/>
  <c r="Q55" i="124"/>
  <c r="Q54" i="124"/>
  <c r="Q53" i="124"/>
  <c r="Q52" i="124"/>
  <c r="Q51" i="124"/>
  <c r="Q50" i="124"/>
  <c r="D50" i="124"/>
  <c r="Q49" i="124"/>
  <c r="D49" i="124"/>
  <c r="Q48" i="124"/>
  <c r="D48" i="124"/>
  <c r="Q47" i="124"/>
  <c r="D47" i="124"/>
  <c r="Q46" i="124"/>
  <c r="Q45" i="124"/>
  <c r="Q44" i="124"/>
  <c r="Q43" i="124"/>
  <c r="Q42" i="124"/>
  <c r="Q41" i="124"/>
  <c r="Q40" i="124"/>
  <c r="D40" i="124"/>
  <c r="Q39" i="124"/>
  <c r="D39" i="124"/>
  <c r="Q38" i="124"/>
  <c r="D38" i="124"/>
  <c r="Q37" i="124"/>
  <c r="D37" i="124"/>
  <c r="Q36" i="124"/>
  <c r="D36" i="124"/>
  <c r="Q35" i="124"/>
  <c r="D35" i="124"/>
  <c r="Q34" i="124"/>
  <c r="D34" i="124"/>
  <c r="Q33" i="124"/>
  <c r="D33" i="124"/>
  <c r="Q32" i="124"/>
  <c r="Q31" i="124"/>
  <c r="Q30" i="124"/>
  <c r="Q29" i="124"/>
  <c r="Q28" i="124"/>
  <c r="Q27" i="124"/>
  <c r="Q26" i="124"/>
  <c r="D26" i="124"/>
  <c r="Q25" i="124"/>
  <c r="D25" i="124"/>
  <c r="Q24" i="124"/>
  <c r="D24" i="124"/>
  <c r="Q23" i="124"/>
  <c r="D23" i="124"/>
  <c r="Q22" i="124"/>
  <c r="D22" i="124"/>
  <c r="Q21" i="124"/>
  <c r="D21" i="124"/>
  <c r="Q20" i="124"/>
  <c r="D20" i="124"/>
  <c r="Q19" i="124"/>
  <c r="D19" i="124"/>
  <c r="Q18" i="124"/>
  <c r="Q17" i="124"/>
  <c r="Q16" i="124"/>
  <c r="Q15" i="124"/>
  <c r="Q14" i="124"/>
  <c r="Q13" i="124"/>
  <c r="Q12" i="124"/>
  <c r="Q11" i="124"/>
  <c r="Q10" i="124"/>
  <c r="Q9" i="124"/>
  <c r="Q7" i="124"/>
  <c r="G6" i="124"/>
  <c r="H5" i="124"/>
  <c r="H6" i="124" s="1"/>
  <c r="S57" i="124"/>
  <c r="T57" i="124" s="1"/>
  <c r="D13" i="124"/>
  <c r="D11" i="124"/>
  <c r="D12" i="124"/>
  <c r="D10" i="124"/>
  <c r="D44" i="124"/>
  <c r="D57" i="124"/>
  <c r="D52" i="124"/>
  <c r="D30" i="124"/>
  <c r="D56" i="124"/>
  <c r="D61" i="124"/>
  <c r="D45" i="124"/>
  <c r="D43" i="124"/>
  <c r="D29" i="124"/>
  <c r="D54" i="124"/>
  <c r="D41" i="124"/>
  <c r="D59" i="124"/>
  <c r="D53" i="124"/>
  <c r="D60" i="124"/>
  <c r="D27" i="124"/>
  <c r="D31" i="124"/>
  <c r="D58" i="124"/>
  <c r="D32" i="124"/>
  <c r="D28" i="124"/>
  <c r="D62" i="124"/>
  <c r="D42" i="124"/>
  <c r="D55" i="124"/>
  <c r="D51" i="124"/>
  <c r="D46" i="124"/>
  <c r="D9" i="124"/>
  <c r="E27" i="124"/>
  <c r="E43" i="124"/>
  <c r="E55" i="124"/>
  <c r="E28" i="124"/>
  <c r="E32" i="124"/>
  <c r="E52" i="124"/>
  <c r="E44" i="124"/>
  <c r="E62" i="124"/>
  <c r="E56" i="124"/>
  <c r="E29" i="124"/>
  <c r="E58" i="124"/>
  <c r="E45" i="124"/>
  <c r="E53" i="124"/>
  <c r="E30" i="124"/>
  <c r="E46" i="124"/>
  <c r="E42" i="124"/>
  <c r="E59" i="124"/>
  <c r="E54" i="124"/>
  <c r="E60" i="124"/>
  <c r="E31" i="124"/>
  <c r="E61" i="124"/>
  <c r="B6" i="80"/>
  <c r="B7" i="80"/>
  <c r="B8" i="80"/>
  <c r="B9" i="80"/>
  <c r="B10" i="80"/>
  <c r="B11" i="80"/>
  <c r="B12" i="80"/>
  <c r="B13" i="80"/>
  <c r="B14" i="80"/>
  <c r="B15" i="80"/>
  <c r="B16" i="80"/>
  <c r="B17" i="80"/>
  <c r="B18" i="80"/>
  <c r="B19" i="80"/>
  <c r="B20" i="80"/>
  <c r="B21" i="80"/>
  <c r="B22" i="80"/>
  <c r="B23" i="80"/>
  <c r="B24" i="80"/>
  <c r="B25" i="80"/>
  <c r="B26" i="80"/>
  <c r="B27" i="80"/>
  <c r="B28" i="80"/>
  <c r="B29" i="80"/>
  <c r="B30" i="80"/>
  <c r="B31" i="80"/>
  <c r="B32" i="80"/>
  <c r="B33" i="80"/>
  <c r="B34" i="80"/>
  <c r="B5" i="80"/>
  <c r="S45" i="124"/>
  <c r="T45" i="124" s="1"/>
  <c r="S62" i="124"/>
  <c r="T62" i="124" s="1"/>
  <c r="S56" i="124"/>
  <c r="T56" i="124" s="1"/>
  <c r="S61" i="124"/>
  <c r="T61" i="124" s="1"/>
  <c r="S28" i="124"/>
  <c r="T28" i="124" s="1"/>
  <c r="S54" i="124"/>
  <c r="T54" i="124" s="1"/>
  <c r="S53" i="124"/>
  <c r="T53" i="124" s="1"/>
  <c r="S27" i="124"/>
  <c r="T27" i="124" s="1"/>
  <c r="S29" i="124"/>
  <c r="T29" i="124" s="1"/>
  <c r="S43" i="124"/>
  <c r="T43" i="124" s="1"/>
  <c r="S30" i="124"/>
  <c r="T30" i="124" s="1"/>
  <c r="S60" i="124"/>
  <c r="T60" i="124" s="1"/>
  <c r="S55" i="124"/>
  <c r="T55" i="124" s="1"/>
  <c r="S32" i="124"/>
  <c r="T32" i="124" s="1"/>
  <c r="S46" i="124"/>
  <c r="T46" i="124" s="1"/>
  <c r="S44" i="124"/>
  <c r="T44" i="124" s="1"/>
  <c r="S42" i="124"/>
  <c r="T42" i="124" s="1"/>
  <c r="S31" i="124"/>
  <c r="T31" i="124" s="1"/>
  <c r="S59" i="124"/>
  <c r="T59" i="124" s="1"/>
  <c r="S58" i="124"/>
  <c r="T58" i="124" s="1"/>
  <c r="S52" i="124"/>
  <c r="T52" i="124" s="1"/>
  <c r="H37" i="87"/>
  <c r="H38" i="87"/>
  <c r="H39" i="87"/>
  <c r="H40" i="87"/>
  <c r="H41" i="87"/>
  <c r="H42" i="87"/>
  <c r="H43" i="87"/>
  <c r="H44" i="87"/>
  <c r="H45" i="87"/>
  <c r="H46" i="87"/>
  <c r="H47" i="87"/>
  <c r="H48" i="87"/>
  <c r="H49" i="87"/>
  <c r="H50" i="87"/>
  <c r="H51" i="87"/>
  <c r="H52" i="87"/>
  <c r="H53" i="87"/>
  <c r="H54" i="87"/>
  <c r="H55" i="87"/>
  <c r="H36" i="87"/>
  <c r="H29" i="76"/>
  <c r="H30" i="76"/>
  <c r="H31" i="76"/>
  <c r="H32" i="76"/>
  <c r="H33" i="76"/>
  <c r="H34" i="76"/>
  <c r="H35" i="76"/>
  <c r="H36" i="76"/>
  <c r="H37" i="76"/>
  <c r="H38" i="76"/>
  <c r="H39" i="76"/>
  <c r="H40" i="76"/>
  <c r="H41" i="76"/>
  <c r="H42" i="76"/>
  <c r="H43" i="76"/>
  <c r="H44" i="76"/>
  <c r="H45" i="76"/>
  <c r="H46" i="76"/>
  <c r="H47" i="76"/>
  <c r="H28" i="76"/>
  <c r="J6" i="87"/>
  <c r="J7" i="87"/>
  <c r="J8" i="87"/>
  <c r="J9" i="87"/>
  <c r="J10" i="87"/>
  <c r="J11" i="87"/>
  <c r="J12" i="87"/>
  <c r="J13" i="87"/>
  <c r="J14" i="87"/>
  <c r="J15" i="87"/>
  <c r="J16" i="87"/>
  <c r="J17" i="87"/>
  <c r="J18" i="87"/>
  <c r="J19" i="87"/>
  <c r="J20" i="87"/>
  <c r="J21" i="87"/>
  <c r="J22" i="87"/>
  <c r="J23" i="87"/>
  <c r="J24" i="87"/>
  <c r="J5" i="87"/>
  <c r="K6" i="76"/>
  <c r="K7" i="76"/>
  <c r="K8" i="76"/>
  <c r="K9" i="76"/>
  <c r="K10" i="76"/>
  <c r="K11" i="76"/>
  <c r="K12" i="76"/>
  <c r="K13" i="76"/>
  <c r="K14" i="76"/>
  <c r="K15" i="76"/>
  <c r="K16" i="76"/>
  <c r="K17" i="76"/>
  <c r="K18" i="76"/>
  <c r="K19" i="76"/>
  <c r="K20" i="76"/>
  <c r="K21" i="76"/>
  <c r="K22" i="76"/>
  <c r="K23" i="76"/>
  <c r="K24" i="76"/>
  <c r="K5" i="76"/>
  <c r="E97" i="56"/>
  <c r="D10" i="56" s="1"/>
  <c r="E83" i="56"/>
  <c r="D9" i="56" s="1"/>
  <c r="E69" i="56"/>
  <c r="D8" i="56" s="1"/>
  <c r="E55" i="56"/>
  <c r="D7" i="56" s="1"/>
  <c r="E41" i="56"/>
  <c r="D6" i="56"/>
  <c r="E27" i="56"/>
  <c r="D5" i="56" s="1"/>
  <c r="C26" i="100"/>
  <c r="C25" i="100"/>
  <c r="C24" i="100"/>
  <c r="C23" i="100"/>
  <c r="C22" i="100"/>
  <c r="C21" i="100"/>
  <c r="C20" i="100"/>
  <c r="C19" i="100"/>
  <c r="C18" i="100"/>
  <c r="C17" i="100"/>
  <c r="C16" i="100"/>
  <c r="C15" i="100"/>
  <c r="C14" i="100"/>
  <c r="C13" i="100"/>
  <c r="C12" i="100"/>
  <c r="C11" i="100"/>
  <c r="C10" i="100"/>
  <c r="C9" i="100"/>
  <c r="C8" i="100"/>
  <c r="C7" i="100"/>
  <c r="D953" i="110"/>
  <c r="D941" i="110"/>
  <c r="D929" i="110"/>
  <c r="D917" i="110"/>
  <c r="D905" i="110"/>
  <c r="D893" i="110"/>
  <c r="D881" i="110"/>
  <c r="D869" i="110"/>
  <c r="D857" i="110"/>
  <c r="D845" i="110"/>
  <c r="D833" i="110"/>
  <c r="D821" i="110"/>
  <c r="D809" i="110"/>
  <c r="D797" i="110"/>
  <c r="D785" i="110"/>
  <c r="D773" i="110"/>
  <c r="D761" i="110"/>
  <c r="D749" i="110"/>
  <c r="D737" i="110"/>
  <c r="D725" i="110"/>
  <c r="D713" i="110"/>
  <c r="D701" i="110"/>
  <c r="D689" i="110"/>
  <c r="D677" i="110"/>
  <c r="D665" i="110"/>
  <c r="D653" i="110"/>
  <c r="D641" i="110"/>
  <c r="D629" i="110"/>
  <c r="D617" i="110"/>
  <c r="D605" i="110"/>
  <c r="D593" i="110"/>
  <c r="D581" i="110"/>
  <c r="D569" i="110"/>
  <c r="D557" i="110"/>
  <c r="D545" i="110"/>
  <c r="D533" i="110"/>
  <c r="D521" i="110"/>
  <c r="D509" i="110"/>
  <c r="D497" i="110"/>
  <c r="D485" i="110"/>
  <c r="D473" i="110"/>
  <c r="D461" i="110"/>
  <c r="D449" i="110"/>
  <c r="D437" i="110"/>
  <c r="D425" i="110"/>
  <c r="D413" i="110"/>
  <c r="D401" i="110"/>
  <c r="D389" i="110"/>
  <c r="D377" i="110"/>
  <c r="D365" i="110"/>
  <c r="D353" i="110"/>
  <c r="D341" i="110"/>
  <c r="D329" i="110"/>
  <c r="D317" i="110"/>
  <c r="D305" i="110"/>
  <c r="D293" i="110"/>
  <c r="D281" i="110"/>
  <c r="D269" i="110"/>
  <c r="D257" i="110"/>
  <c r="D245" i="110"/>
  <c r="D233" i="110"/>
  <c r="D221" i="110"/>
  <c r="D209" i="110"/>
  <c r="D197" i="110"/>
  <c r="D185" i="110"/>
  <c r="D173" i="110"/>
  <c r="D161" i="110"/>
  <c r="D149" i="110"/>
  <c r="D137" i="110"/>
  <c r="D125" i="110"/>
  <c r="D113" i="110"/>
  <c r="D101" i="110"/>
  <c r="D89" i="110"/>
  <c r="D77" i="110"/>
  <c r="D65" i="110"/>
  <c r="D53" i="110"/>
  <c r="D41" i="110"/>
  <c r="D29" i="110"/>
  <c r="D17" i="110"/>
  <c r="D5" i="110"/>
  <c r="D473" i="109"/>
  <c r="D461" i="109"/>
  <c r="D449" i="109"/>
  <c r="D437" i="109"/>
  <c r="D425" i="109"/>
  <c r="D413" i="109"/>
  <c r="D401" i="109"/>
  <c r="D389" i="109"/>
  <c r="D377" i="109"/>
  <c r="D365" i="109"/>
  <c r="D353" i="109"/>
  <c r="D341" i="109"/>
  <c r="D329" i="109"/>
  <c r="D317" i="109"/>
  <c r="D305" i="109"/>
  <c r="D293" i="109"/>
  <c r="D281" i="109"/>
  <c r="D269" i="109"/>
  <c r="D257" i="109"/>
  <c r="D245" i="109"/>
  <c r="D233" i="109"/>
  <c r="D221" i="109"/>
  <c r="D209" i="109"/>
  <c r="D197" i="109"/>
  <c r="D185" i="109"/>
  <c r="D173" i="109"/>
  <c r="D161" i="109"/>
  <c r="D149" i="109"/>
  <c r="D137" i="109"/>
  <c r="D125" i="109"/>
  <c r="D113" i="109"/>
  <c r="D101" i="109"/>
  <c r="D89" i="109"/>
  <c r="D77" i="109"/>
  <c r="D65" i="109"/>
  <c r="D53" i="109"/>
  <c r="D41" i="109"/>
  <c r="D29" i="109"/>
  <c r="D17" i="109"/>
  <c r="D5" i="109"/>
  <c r="V87" i="108"/>
  <c r="A87" i="108"/>
  <c r="V86" i="108"/>
  <c r="A86" i="108"/>
  <c r="V85" i="108"/>
  <c r="L85" i="108"/>
  <c r="I85" i="108"/>
  <c r="F85" i="108"/>
  <c r="A85" i="108"/>
  <c r="V84" i="108"/>
  <c r="A84" i="108"/>
  <c r="V83" i="108"/>
  <c r="L83" i="108"/>
  <c r="I83" i="108"/>
  <c r="F83" i="108"/>
  <c r="A83" i="108"/>
  <c r="V82" i="108"/>
  <c r="A82" i="108"/>
  <c r="V81" i="108"/>
  <c r="L81" i="108"/>
  <c r="I81" i="108"/>
  <c r="F81" i="108"/>
  <c r="A81" i="108"/>
  <c r="V80" i="108"/>
  <c r="A80" i="108"/>
  <c r="V79" i="108"/>
  <c r="L79" i="108"/>
  <c r="I79" i="108"/>
  <c r="F79" i="108"/>
  <c r="A79" i="108"/>
  <c r="V78" i="108"/>
  <c r="A78" i="108"/>
  <c r="V77" i="108"/>
  <c r="L77" i="108"/>
  <c r="I77" i="108"/>
  <c r="F77" i="108"/>
  <c r="A77" i="108"/>
  <c r="V76" i="108"/>
  <c r="A76" i="108"/>
  <c r="V75" i="108"/>
  <c r="L75" i="108"/>
  <c r="I75" i="108"/>
  <c r="F75" i="108"/>
  <c r="A75" i="108"/>
  <c r="V74" i="108"/>
  <c r="A74" i="108"/>
  <c r="V73" i="108"/>
  <c r="L73" i="108"/>
  <c r="I73" i="108"/>
  <c r="F73" i="108"/>
  <c r="A73" i="108"/>
  <c r="V72" i="108"/>
  <c r="A72" i="108"/>
  <c r="V71" i="108"/>
  <c r="L71" i="108"/>
  <c r="I71" i="108"/>
  <c r="F71" i="108"/>
  <c r="A71" i="108"/>
  <c r="V70" i="108"/>
  <c r="A70" i="108"/>
  <c r="V69" i="108"/>
  <c r="L69" i="108"/>
  <c r="I69" i="108"/>
  <c r="F69" i="108"/>
  <c r="A69" i="108"/>
  <c r="V68" i="108"/>
  <c r="A68" i="108"/>
  <c r="V67" i="108"/>
  <c r="L67" i="108"/>
  <c r="I67" i="108"/>
  <c r="F67" i="108"/>
  <c r="A67" i="108"/>
  <c r="V66" i="108"/>
  <c r="A66" i="108"/>
  <c r="V65" i="108"/>
  <c r="L65" i="108"/>
  <c r="I65" i="108"/>
  <c r="F65" i="108"/>
  <c r="A65" i="108"/>
  <c r="V64" i="108"/>
  <c r="A64" i="108"/>
  <c r="V63" i="108"/>
  <c r="L63" i="108"/>
  <c r="I63" i="108"/>
  <c r="F63" i="108"/>
  <c r="A63" i="108"/>
  <c r="V62" i="108"/>
  <c r="A62" i="108"/>
  <c r="V61" i="108"/>
  <c r="L61" i="108"/>
  <c r="I61" i="108"/>
  <c r="F61" i="108"/>
  <c r="A61" i="108"/>
  <c r="V60" i="108"/>
  <c r="A60" i="108"/>
  <c r="V59" i="108"/>
  <c r="L59" i="108"/>
  <c r="I59" i="108"/>
  <c r="F59" i="108"/>
  <c r="A59" i="108"/>
  <c r="V58" i="108"/>
  <c r="A58" i="108"/>
  <c r="V57" i="108"/>
  <c r="L57" i="108"/>
  <c r="I57" i="108"/>
  <c r="F57" i="108"/>
  <c r="A57" i="108"/>
  <c r="V56" i="108"/>
  <c r="A56" i="108"/>
  <c r="V55" i="108"/>
  <c r="L55" i="108"/>
  <c r="I55" i="108"/>
  <c r="F55" i="108"/>
  <c r="A55" i="108"/>
  <c r="V54" i="108"/>
  <c r="A54" i="108"/>
  <c r="V53" i="108"/>
  <c r="L53" i="108"/>
  <c r="I53" i="108"/>
  <c r="F53" i="108"/>
  <c r="A53" i="108"/>
  <c r="V52" i="108"/>
  <c r="A52" i="108"/>
  <c r="V51" i="108"/>
  <c r="L51" i="108"/>
  <c r="I51" i="108"/>
  <c r="F51" i="108"/>
  <c r="A51" i="108"/>
  <c r="V50" i="108"/>
  <c r="A50" i="108"/>
  <c r="V49" i="108"/>
  <c r="L49" i="108"/>
  <c r="I49" i="108"/>
  <c r="F49" i="108"/>
  <c r="A49" i="108"/>
  <c r="V48" i="108"/>
  <c r="A48" i="108"/>
  <c r="V47" i="108"/>
  <c r="L47" i="108"/>
  <c r="I47" i="108"/>
  <c r="F47" i="108"/>
  <c r="A47" i="108"/>
  <c r="V46" i="108"/>
  <c r="A46" i="108"/>
  <c r="V45" i="108"/>
  <c r="L45" i="108"/>
  <c r="I45" i="108"/>
  <c r="F45" i="108"/>
  <c r="A45" i="108"/>
  <c r="V44" i="108"/>
  <c r="A44" i="108"/>
  <c r="V43" i="108"/>
  <c r="L43" i="108"/>
  <c r="I43" i="108"/>
  <c r="F43" i="108"/>
  <c r="A43" i="108"/>
  <c r="V42" i="108"/>
  <c r="A42" i="108"/>
  <c r="V41" i="108"/>
  <c r="L41" i="108"/>
  <c r="I41" i="108"/>
  <c r="F41" i="108"/>
  <c r="A41" i="108"/>
  <c r="V40" i="108"/>
  <c r="A40" i="108"/>
  <c r="V39" i="108"/>
  <c r="L39" i="108"/>
  <c r="I39" i="108"/>
  <c r="F39" i="108"/>
  <c r="A39" i="108"/>
  <c r="V38" i="108"/>
  <c r="A38" i="108"/>
  <c r="V37" i="108"/>
  <c r="L37" i="108"/>
  <c r="I37" i="108"/>
  <c r="F37" i="108"/>
  <c r="A37" i="108"/>
  <c r="V36" i="108"/>
  <c r="A36" i="108"/>
  <c r="V35" i="108"/>
  <c r="L35" i="108"/>
  <c r="I35" i="108"/>
  <c r="F35" i="108"/>
  <c r="A35" i="108"/>
  <c r="V34" i="108"/>
  <c r="A34" i="108"/>
  <c r="V33" i="108"/>
  <c r="L33" i="108"/>
  <c r="I33" i="108"/>
  <c r="F33" i="108"/>
  <c r="A33" i="108"/>
  <c r="V32" i="108"/>
  <c r="A32" i="108"/>
  <c r="V31" i="108"/>
  <c r="L31" i="108"/>
  <c r="I31" i="108"/>
  <c r="F31" i="108"/>
  <c r="A31" i="108"/>
  <c r="V30" i="108"/>
  <c r="A30" i="108"/>
  <c r="V29" i="108"/>
  <c r="L29" i="108"/>
  <c r="I29" i="108"/>
  <c r="F29" i="108"/>
  <c r="A29" i="108"/>
  <c r="V28" i="108"/>
  <c r="A28" i="108"/>
  <c r="V27" i="108"/>
  <c r="L27" i="108"/>
  <c r="I27" i="108"/>
  <c r="F27" i="108"/>
  <c r="A27" i="108"/>
  <c r="V26" i="108"/>
  <c r="A26" i="108"/>
  <c r="V25" i="108"/>
  <c r="L25" i="108"/>
  <c r="I25" i="108"/>
  <c r="F25" i="108"/>
  <c r="A25" i="108"/>
  <c r="V24" i="108"/>
  <c r="A24" i="108"/>
  <c r="V23" i="108"/>
  <c r="L23" i="108"/>
  <c r="I23" i="108"/>
  <c r="F23" i="108"/>
  <c r="A23" i="108"/>
  <c r="V22" i="108"/>
  <c r="A22" i="108"/>
  <c r="V21" i="108"/>
  <c r="L21" i="108"/>
  <c r="I21" i="108"/>
  <c r="F21" i="108"/>
  <c r="A21" i="108"/>
  <c r="V20" i="108"/>
  <c r="A20" i="108"/>
  <c r="V19" i="108"/>
  <c r="L19" i="108"/>
  <c r="I19" i="108"/>
  <c r="F19" i="108"/>
  <c r="A19" i="108"/>
  <c r="V18" i="108"/>
  <c r="A18" i="108"/>
  <c r="V17" i="108"/>
  <c r="L17" i="108"/>
  <c r="I17" i="108"/>
  <c r="F17" i="108"/>
  <c r="A17" i="108"/>
  <c r="V16" i="108"/>
  <c r="A16" i="108"/>
  <c r="V15" i="108"/>
  <c r="L15" i="108"/>
  <c r="I15" i="108"/>
  <c r="F15" i="108"/>
  <c r="A15" i="108"/>
  <c r="V14" i="108"/>
  <c r="A14" i="108"/>
  <c r="V13" i="108"/>
  <c r="L13" i="108"/>
  <c r="I13" i="108"/>
  <c r="F13" i="108"/>
  <c r="A13" i="108"/>
  <c r="V12" i="108"/>
  <c r="A12" i="108"/>
  <c r="V11" i="108"/>
  <c r="L11" i="108"/>
  <c r="I11" i="108"/>
  <c r="F11" i="108"/>
  <c r="A11" i="108"/>
  <c r="V10" i="108"/>
  <c r="A10" i="108"/>
  <c r="V9" i="108"/>
  <c r="L9" i="108"/>
  <c r="I9" i="108"/>
  <c r="F9" i="108"/>
  <c r="A9" i="108"/>
  <c r="V8" i="108"/>
  <c r="A8" i="108"/>
  <c r="V7" i="108"/>
  <c r="I7" i="108"/>
  <c r="L7" i="108" s="1"/>
  <c r="F7" i="108"/>
  <c r="A7" i="108"/>
  <c r="V6" i="108"/>
  <c r="B88" i="56"/>
  <c r="B89" i="56"/>
  <c r="B90" i="56" s="1"/>
  <c r="B91" i="56" s="1"/>
  <c r="B92" i="56" s="1"/>
  <c r="B93" i="56" s="1"/>
  <c r="B94" i="56" s="1"/>
  <c r="B95" i="56" s="1"/>
  <c r="B96" i="56" s="1"/>
  <c r="B74" i="56"/>
  <c r="B75" i="56" s="1"/>
  <c r="B76" i="56" s="1"/>
  <c r="B77" i="56" s="1"/>
  <c r="B78" i="56" s="1"/>
  <c r="B79" i="56" s="1"/>
  <c r="B80" i="56" s="1"/>
  <c r="B81" i="56" s="1"/>
  <c r="B82" i="56" s="1"/>
  <c r="B60" i="56"/>
  <c r="B61" i="56"/>
  <c r="B62" i="56" s="1"/>
  <c r="B63" i="56" s="1"/>
  <c r="B64" i="56" s="1"/>
  <c r="B65" i="56" s="1"/>
  <c r="B66" i="56" s="1"/>
  <c r="B67" i="56" s="1"/>
  <c r="B68" i="56" s="1"/>
  <c r="B46" i="56"/>
  <c r="B47" i="56" s="1"/>
  <c r="B48" i="56" s="1"/>
  <c r="B49" i="56" s="1"/>
  <c r="B50" i="56" s="1"/>
  <c r="B51" i="56" s="1"/>
  <c r="B52" i="56" s="1"/>
  <c r="B53" i="56" s="1"/>
  <c r="B54" i="56" s="1"/>
  <c r="B32" i="56"/>
  <c r="B33" i="56"/>
  <c r="B34" i="56" s="1"/>
  <c r="B35" i="56" s="1"/>
  <c r="B36" i="56" s="1"/>
  <c r="B37" i="56" s="1"/>
  <c r="B38" i="56" s="1"/>
  <c r="B39" i="56" s="1"/>
  <c r="B40" i="56" s="1"/>
  <c r="I18" i="56"/>
  <c r="B18" i="56"/>
  <c r="B19" i="56"/>
  <c r="B20" i="56" s="1"/>
  <c r="B21" i="56" s="1"/>
  <c r="B22" i="56" s="1"/>
  <c r="B23" i="56" s="1"/>
  <c r="B24" i="56" s="1"/>
  <c r="B25" i="56" s="1"/>
  <c r="B26" i="56" s="1"/>
  <c r="I17" i="56"/>
  <c r="D55" i="56"/>
  <c r="D83" i="56"/>
  <c r="D97" i="56"/>
  <c r="D41" i="56"/>
  <c r="D69" i="56"/>
  <c r="D27" i="56"/>
  <c r="S12" i="124"/>
  <c r="T12" i="124" s="1"/>
  <c r="S11" i="124"/>
  <c r="T11" i="124" s="1"/>
  <c r="S13" i="124"/>
  <c r="T13" i="124" s="1"/>
  <c r="S10" i="124"/>
  <c r="T10" i="124" s="1"/>
  <c r="E41" i="124"/>
  <c r="E10" i="124"/>
  <c r="E11" i="124"/>
  <c r="E12" i="124"/>
  <c r="E13" i="124"/>
  <c r="E51" i="124"/>
  <c r="S41" i="124"/>
  <c r="T41" i="124" s="1"/>
  <c r="S51" i="124"/>
  <c r="T51" i="124" s="1"/>
  <c r="R8" i="124"/>
  <c r="Q8" i="124"/>
  <c r="H66" i="124"/>
  <c r="E9" i="124"/>
  <c r="S9" i="124"/>
  <c r="T9" i="124" s="1"/>
  <c r="C207" i="124"/>
  <c r="C193" i="124"/>
  <c r="C208" i="124"/>
  <c r="C190" i="124"/>
  <c r="C194" i="124"/>
  <c r="C184" i="124"/>
  <c r="C205" i="124"/>
  <c r="C204" i="124"/>
  <c r="C199" i="124"/>
  <c r="D66" i="124"/>
  <c r="C210" i="124"/>
  <c r="C209" i="124"/>
  <c r="C203" i="124"/>
  <c r="C206" i="124"/>
  <c r="D7" i="124"/>
  <c r="C198" i="124"/>
  <c r="C195" i="124"/>
  <c r="C185" i="124"/>
  <c r="R5" i="124"/>
  <c r="C189" i="124"/>
  <c r="C186" i="124"/>
  <c r="Q5" i="124"/>
  <c r="S66" i="124"/>
  <c r="C187" i="124"/>
  <c r="C200" i="124"/>
  <c r="C181" i="124"/>
  <c r="C197" i="124"/>
  <c r="C183" i="124"/>
  <c r="C201" i="124"/>
  <c r="C188" i="124"/>
  <c r="C202" i="124"/>
  <c r="C191" i="124"/>
  <c r="C192" i="124"/>
  <c r="C196" i="124"/>
  <c r="S7" i="124"/>
  <c r="S8" i="124"/>
  <c r="A227" i="82" l="1"/>
  <c r="A45" i="82"/>
  <c r="D4" i="131" s="1"/>
  <c r="A201" i="82"/>
  <c r="E8" i="100" s="1"/>
  <c r="A186" i="82"/>
  <c r="A162" i="82"/>
  <c r="S5" i="108" s="1"/>
  <c r="A137" i="82"/>
  <c r="E4" i="87" s="1"/>
  <c r="A43" i="82"/>
  <c r="A189" i="82"/>
  <c r="A159" i="82"/>
  <c r="E5" i="108" s="1"/>
  <c r="A179" i="82"/>
  <c r="A74" i="82"/>
  <c r="B1" i="56" s="1"/>
  <c r="A207" i="82"/>
  <c r="B8" i="127" s="1"/>
  <c r="B21" i="127" s="1"/>
  <c r="A146" i="82"/>
  <c r="A194" i="82"/>
  <c r="C5" i="124" s="1"/>
  <c r="A94" i="82"/>
  <c r="F74" i="124"/>
  <c r="I5" i="124"/>
  <c r="A144" i="82"/>
  <c r="A158" i="82"/>
  <c r="C5" i="108" s="1"/>
  <c r="A96" i="82"/>
  <c r="A81" i="82"/>
  <c r="G16" i="56" s="1"/>
  <c r="G72" i="56" s="1"/>
  <c r="A25" i="82"/>
  <c r="A51" i="82"/>
  <c r="H72" i="76" s="1"/>
  <c r="A152" i="82"/>
  <c r="A214" i="82"/>
  <c r="H8" i="127" s="1"/>
  <c r="H60" i="127" s="1"/>
  <c r="A13" i="82"/>
  <c r="A35" i="82"/>
  <c r="A60" i="82"/>
  <c r="B5" i="100" s="1"/>
  <c r="A21" i="82"/>
  <c r="A5" i="82"/>
  <c r="C1" i="12" s="1"/>
  <c r="A218" i="82"/>
  <c r="A229" i="82"/>
  <c r="B1" i="130" s="1"/>
  <c r="D74" i="124"/>
  <c r="A133" i="82"/>
  <c r="G4" i="87" s="1"/>
  <c r="A210" i="82"/>
  <c r="D8" i="127" s="1"/>
  <c r="D21" i="127" s="1"/>
  <c r="A213" i="82"/>
  <c r="G8" i="127" s="1"/>
  <c r="G21" i="127" s="1"/>
  <c r="G34" i="127" s="1"/>
  <c r="G47" i="127" s="1"/>
  <c r="G60" i="127" s="1"/>
  <c r="G73" i="127" s="1"/>
  <c r="A191" i="82"/>
  <c r="A172" i="82"/>
  <c r="A47" i="82"/>
  <c r="A98" i="82"/>
  <c r="A30" i="82"/>
  <c r="A147" i="82"/>
  <c r="A99" i="82"/>
  <c r="G74" i="124"/>
  <c r="F72" i="124"/>
  <c r="F75" i="124"/>
  <c r="F73" i="124"/>
  <c r="G73" i="124"/>
  <c r="D73" i="124"/>
  <c r="G75" i="124"/>
  <c r="G72" i="124"/>
  <c r="D72" i="124"/>
  <c r="D75" i="124"/>
  <c r="A219" i="82"/>
  <c r="A199" i="82"/>
  <c r="B1" i="127" s="1"/>
  <c r="A184" i="82"/>
  <c r="A160" i="82"/>
  <c r="P5" i="108" s="1"/>
  <c r="A138" i="82"/>
  <c r="F4" i="87" s="1"/>
  <c r="A73" i="82"/>
  <c r="A91" i="82"/>
  <c r="A10" i="82"/>
  <c r="A56" i="82"/>
  <c r="A105" i="82"/>
  <c r="D4" i="75" s="1"/>
  <c r="A82" i="82"/>
  <c r="H16" i="56" s="1"/>
  <c r="A58" i="82"/>
  <c r="A75" i="82"/>
  <c r="A112" i="82"/>
  <c r="C3" i="80" s="1"/>
  <c r="A233" i="82"/>
  <c r="A228" i="82"/>
  <c r="A224" i="82"/>
  <c r="A220" i="82"/>
  <c r="A155" i="82"/>
  <c r="I5" i="108" s="1"/>
  <c r="A103" i="82"/>
  <c r="F4" i="75" s="1"/>
  <c r="A69" i="82"/>
  <c r="A59" i="82"/>
  <c r="A117" i="82"/>
  <c r="A29" i="82"/>
  <c r="A111" i="82"/>
  <c r="A163" i="82"/>
  <c r="T5" i="108" s="1"/>
  <c r="A48" i="82"/>
  <c r="A40" i="82"/>
  <c r="A24" i="82"/>
  <c r="A95" i="82"/>
  <c r="A70" i="82"/>
  <c r="A136" i="82"/>
  <c r="D4" i="87" s="1"/>
  <c r="A149" i="82"/>
  <c r="A181" i="82"/>
  <c r="A141" i="82"/>
  <c r="B1" i="100" s="1"/>
  <c r="A12" i="82"/>
  <c r="A185" i="82"/>
  <c r="B1" i="122" s="1"/>
  <c r="A42" i="82"/>
  <c r="A154" i="82"/>
  <c r="H5" i="108" s="1"/>
  <c r="A84" i="82"/>
  <c r="A50" i="82"/>
  <c r="A122" i="82"/>
  <c r="A20" i="82"/>
  <c r="A102" i="82"/>
  <c r="C4" i="75" s="1"/>
  <c r="A150" i="82"/>
  <c r="B5" i="108" s="1"/>
  <c r="A182" i="82"/>
  <c r="A110" i="82"/>
  <c r="B1" i="80" s="1"/>
  <c r="A192" i="82"/>
  <c r="A17" i="82"/>
  <c r="A11" i="82"/>
  <c r="A1" i="82"/>
  <c r="A151" i="82"/>
  <c r="N5" i="108" s="1"/>
  <c r="A178" i="82"/>
  <c r="A53" i="82"/>
  <c r="H74" i="76" s="1"/>
  <c r="A31" i="82"/>
  <c r="A166" i="82"/>
  <c r="C1" i="110" s="1"/>
  <c r="A127" i="82"/>
  <c r="C5" i="17" s="1"/>
  <c r="A230" i="82"/>
  <c r="A225" i="82"/>
  <c r="A221" i="82"/>
  <c r="A217" i="82"/>
  <c r="D5" i="128" s="1"/>
  <c r="A215" i="82"/>
  <c r="G28" i="100" s="1"/>
  <c r="A36" i="82"/>
  <c r="A165" i="82"/>
  <c r="A139" i="82"/>
  <c r="A132" i="82"/>
  <c r="C4" i="87" s="1"/>
  <c r="A26" i="82"/>
  <c r="A164" i="82"/>
  <c r="R5" i="108" s="1"/>
  <c r="A76" i="82"/>
  <c r="B16" i="56" s="1"/>
  <c r="A197" i="82"/>
  <c r="A93" i="82"/>
  <c r="A134" i="82"/>
  <c r="A153" i="82"/>
  <c r="G5" i="108" s="1"/>
  <c r="A198" i="82"/>
  <c r="A89" i="82"/>
  <c r="A171" i="82"/>
  <c r="C1" i="109" s="1"/>
  <c r="A176" i="82"/>
  <c r="A86" i="82"/>
  <c r="A107" i="82"/>
  <c r="H4" i="75" s="1"/>
  <c r="A65" i="82"/>
  <c r="H4" i="76" s="1"/>
  <c r="A183" i="82"/>
  <c r="A44" i="82"/>
  <c r="A7" i="82"/>
  <c r="A87" i="82"/>
  <c r="A187" i="82"/>
  <c r="A77" i="82"/>
  <c r="C16" i="56" s="1"/>
  <c r="A16" i="82"/>
  <c r="A145" i="82"/>
  <c r="C1" i="108" s="1"/>
  <c r="A88" i="82"/>
  <c r="A128" i="82"/>
  <c r="G5" i="17" s="1"/>
  <c r="A38" i="82"/>
  <c r="A124" i="82"/>
  <c r="A113" i="82"/>
  <c r="D3" i="80" s="1"/>
  <c r="A123" i="82"/>
  <c r="A57" i="82"/>
  <c r="A119" i="82"/>
  <c r="A161" i="82"/>
  <c r="A101" i="82"/>
  <c r="B4" i="75" s="1"/>
  <c r="A231" i="82"/>
  <c r="A222" i="82"/>
  <c r="A157" i="82"/>
  <c r="K5" i="108" s="1"/>
  <c r="A121" i="82"/>
  <c r="B1" i="17" s="1"/>
  <c r="A92" i="82"/>
  <c r="B1" i="75" s="1"/>
  <c r="A114" i="82"/>
  <c r="A109" i="82"/>
  <c r="A78" i="82"/>
  <c r="D16" i="56" s="1"/>
  <c r="A193" i="82"/>
  <c r="B1" i="124" s="1"/>
  <c r="A188" i="82"/>
  <c r="A9" i="82"/>
  <c r="A168" i="82"/>
  <c r="A116" i="82"/>
  <c r="F3" i="80" s="1"/>
  <c r="A106" i="82"/>
  <c r="G4" i="75" s="1"/>
  <c r="A177" i="82"/>
  <c r="A156" i="82"/>
  <c r="J5" i="108" s="1"/>
  <c r="A120" i="82"/>
  <c r="A167" i="82"/>
  <c r="A39" i="82"/>
  <c r="A85" i="82"/>
  <c r="A115" i="82"/>
  <c r="E3" i="80" s="1"/>
  <c r="A14" i="82"/>
  <c r="A104" i="82"/>
  <c r="E4" i="75" s="1"/>
  <c r="A142" i="82"/>
  <c r="C5" i="100" s="1"/>
  <c r="A125" i="82"/>
  <c r="A148" i="82"/>
  <c r="A46" i="82"/>
  <c r="B1" i="76" s="1"/>
  <c r="A23" i="82"/>
  <c r="A212" i="82"/>
  <c r="F8" i="127" s="1"/>
  <c r="A204" i="82"/>
  <c r="A203" i="82"/>
  <c r="A208" i="82"/>
  <c r="C8" i="127" s="1"/>
  <c r="A143" i="82"/>
  <c r="E5" i="100" s="1"/>
  <c r="A232" i="82"/>
  <c r="A223" i="82"/>
  <c r="A216" i="82"/>
  <c r="B1" i="128" s="1"/>
  <c r="A131" i="82"/>
  <c r="B1" i="87" s="1"/>
  <c r="A130" i="82"/>
  <c r="G24" i="17" s="1"/>
  <c r="A63" i="82"/>
  <c r="D4" i="76" s="1"/>
  <c r="A61" i="82"/>
  <c r="C4" i="76" s="1"/>
  <c r="A108" i="82"/>
  <c r="I4" i="75" s="1"/>
  <c r="A41" i="82"/>
  <c r="A22" i="82"/>
  <c r="A195" i="82"/>
  <c r="A15" i="82"/>
  <c r="A66" i="82"/>
  <c r="I4" i="76" s="1"/>
  <c r="A55" i="82"/>
  <c r="A196" i="82"/>
  <c r="A190" i="82"/>
  <c r="A54" i="82"/>
  <c r="A126" i="82"/>
  <c r="A52" i="82"/>
  <c r="H73" i="76" s="1"/>
  <c r="A72" i="82"/>
  <c r="A169" i="82"/>
  <c r="A174" i="82"/>
  <c r="A6" i="82"/>
  <c r="A175" i="82"/>
  <c r="A64" i="82"/>
  <c r="E4" i="76" s="1"/>
  <c r="A71" i="82"/>
  <c r="A18" i="82"/>
  <c r="A34" i="82"/>
  <c r="A90" i="82"/>
  <c r="A32" i="82"/>
  <c r="A170" i="82"/>
  <c r="A37" i="82"/>
  <c r="A97" i="82"/>
  <c r="A28" i="82"/>
  <c r="A62" i="82"/>
  <c r="F4" i="76" s="1"/>
  <c r="A202" i="82"/>
  <c r="A209" i="82"/>
  <c r="A211" i="82"/>
  <c r="E8" i="127" s="1"/>
  <c r="A205" i="82"/>
  <c r="B72" i="127" s="1"/>
  <c r="A206" i="82"/>
  <c r="A140" i="82"/>
  <c r="H4" i="87" s="1"/>
  <c r="A135" i="82"/>
  <c r="A200" i="82"/>
  <c r="A79" i="82"/>
  <c r="E16" i="56" s="1"/>
  <c r="A49" i="82"/>
  <c r="A118" i="82"/>
  <c r="A19" i="82"/>
  <c r="A180" i="82"/>
  <c r="A33" i="82"/>
  <c r="A83" i="82"/>
  <c r="A173" i="82"/>
  <c r="A67" i="82"/>
  <c r="A8" i="82"/>
  <c r="A27" i="82"/>
  <c r="A129" i="82"/>
  <c r="C24" i="17" s="1"/>
  <c r="A80" i="82"/>
  <c r="F16" i="56" s="1"/>
  <c r="A100" i="82"/>
  <c r="A68" i="82"/>
  <c r="G4" i="76" s="1"/>
  <c r="A226" i="82"/>
  <c r="D8" i="124"/>
  <c r="T7" i="124"/>
  <c r="T8" i="124"/>
  <c r="F5" i="124"/>
  <c r="T66" i="124"/>
  <c r="E5" i="124"/>
  <c r="D5" i="124"/>
  <c r="D71" i="124" l="1"/>
  <c r="G71" i="124"/>
  <c r="F71" i="124"/>
  <c r="B73" i="127"/>
  <c r="B34" i="127"/>
  <c r="B47" i="127"/>
  <c r="B60" i="127"/>
  <c r="B20" i="127"/>
  <c r="G58" i="56"/>
  <c r="H34" i="127"/>
  <c r="D73" i="127"/>
  <c r="D34" i="127"/>
  <c r="B4" i="76"/>
  <c r="G30" i="56"/>
  <c r="J5" i="124"/>
  <c r="I6" i="124"/>
  <c r="B4" i="87"/>
  <c r="G44" i="56"/>
  <c r="H21" i="127"/>
  <c r="G86" i="56"/>
  <c r="H47" i="127"/>
  <c r="H73" i="127"/>
  <c r="D47" i="127"/>
  <c r="D60" i="127"/>
  <c r="F6" i="124"/>
  <c r="E7" i="124"/>
  <c r="E66" i="124"/>
  <c r="E8" i="124"/>
  <c r="E35" i="110"/>
  <c r="E191" i="109"/>
  <c r="E311" i="110"/>
  <c r="E611" i="110"/>
  <c r="E11" i="110"/>
  <c r="E251" i="109"/>
  <c r="E95" i="110"/>
  <c r="E239" i="110"/>
  <c r="E251" i="110"/>
  <c r="E527" i="110"/>
  <c r="E431" i="109"/>
  <c r="E179" i="110"/>
  <c r="E263" i="110"/>
  <c r="E755" i="110"/>
  <c r="E719" i="110"/>
  <c r="E851" i="110"/>
  <c r="E827" i="110"/>
  <c r="E287" i="109"/>
  <c r="E503" i="110"/>
  <c r="E767" i="110"/>
  <c r="E59" i="109"/>
  <c r="E95" i="109"/>
  <c r="E491" i="110"/>
  <c r="E107" i="110"/>
  <c r="E23" i="109"/>
  <c r="E275" i="109"/>
  <c r="E287" i="110"/>
  <c r="E215" i="110"/>
  <c r="E71" i="110"/>
  <c r="E575" i="110"/>
  <c r="E959" i="110"/>
  <c r="E863" i="110"/>
  <c r="E683" i="110"/>
  <c r="E335" i="110"/>
  <c r="E383" i="110"/>
  <c r="E155" i="109"/>
  <c r="E23" i="110"/>
  <c r="E299" i="110"/>
  <c r="E695" i="110"/>
  <c r="E335" i="109"/>
  <c r="E839" i="110"/>
  <c r="E887" i="110"/>
  <c r="E947" i="110"/>
  <c r="E203" i="109"/>
  <c r="E119" i="110"/>
  <c r="E539" i="110"/>
  <c r="E599" i="110"/>
  <c r="E263" i="109"/>
  <c r="E515" i="110"/>
  <c r="E371" i="109"/>
  <c r="E443" i="110"/>
  <c r="E347" i="110"/>
  <c r="E935" i="110"/>
  <c r="E803" i="110"/>
  <c r="E647" i="110"/>
  <c r="E299" i="109"/>
  <c r="E383" i="109"/>
  <c r="E791" i="110"/>
  <c r="E815" i="110"/>
  <c r="E83" i="109"/>
  <c r="E875" i="110"/>
  <c r="E743" i="110"/>
  <c r="E47" i="110"/>
  <c r="E407" i="110"/>
  <c r="E419" i="110"/>
  <c r="E455" i="110"/>
  <c r="E395" i="109"/>
  <c r="E623" i="110"/>
  <c r="E323" i="109"/>
  <c r="E659" i="110"/>
  <c r="E911" i="110"/>
  <c r="E59" i="110"/>
  <c r="E239" i="109"/>
  <c r="E179" i="109"/>
  <c r="E323" i="110"/>
  <c r="E311" i="109"/>
  <c r="E83" i="110"/>
  <c r="E155" i="110"/>
  <c r="E203" i="110"/>
  <c r="E455" i="109"/>
  <c r="E227" i="110"/>
  <c r="E71" i="109"/>
  <c r="E167" i="110"/>
  <c r="E347" i="109"/>
  <c r="E227" i="109"/>
  <c r="E467" i="109"/>
  <c r="E35" i="109"/>
  <c r="E419" i="109"/>
  <c r="E587" i="110"/>
  <c r="E923" i="110"/>
  <c r="E551" i="110"/>
  <c r="E671" i="110"/>
  <c r="E443" i="109"/>
  <c r="E131" i="110"/>
  <c r="E131" i="109"/>
  <c r="E107" i="109"/>
  <c r="E899" i="110"/>
  <c r="E11" i="109"/>
  <c r="E359" i="109"/>
  <c r="E479" i="109"/>
  <c r="E395" i="110"/>
  <c r="E167" i="109"/>
  <c r="E215" i="109"/>
  <c r="E407" i="109"/>
  <c r="E371" i="110"/>
  <c r="E707" i="110"/>
  <c r="E359" i="110"/>
  <c r="E467" i="110"/>
  <c r="E119" i="109"/>
  <c r="E431" i="110"/>
  <c r="E563" i="110"/>
  <c r="E143" i="109"/>
  <c r="E479" i="110"/>
  <c r="E275" i="110"/>
  <c r="E779" i="110"/>
  <c r="E635" i="110"/>
  <c r="E143" i="110"/>
  <c r="E191" i="110"/>
  <c r="E731" i="110"/>
  <c r="E47" i="109"/>
  <c r="C57" i="56"/>
  <c r="C8" i="56"/>
  <c r="D931" i="110"/>
  <c r="D211" i="109"/>
  <c r="D439" i="109"/>
  <c r="D823" i="110"/>
  <c r="D7" i="110"/>
  <c r="D79" i="110"/>
  <c r="D79" i="109"/>
  <c r="D403" i="109"/>
  <c r="D907" i="110"/>
  <c r="D499" i="110"/>
  <c r="D547" i="110"/>
  <c r="D487" i="110"/>
  <c r="D163" i="110"/>
  <c r="D139" i="109"/>
  <c r="D463" i="110"/>
  <c r="D511" i="110"/>
  <c r="D871" i="110"/>
  <c r="D787" i="110"/>
  <c r="D43" i="109"/>
  <c r="D739" i="110"/>
  <c r="D367" i="110"/>
  <c r="D211" i="110"/>
  <c r="D427" i="110"/>
  <c r="D271" i="110"/>
  <c r="D343" i="110"/>
  <c r="D103" i="109"/>
  <c r="D367" i="109"/>
  <c r="D763" i="110"/>
  <c r="D235" i="110"/>
  <c r="D55" i="110"/>
  <c r="D235" i="109"/>
  <c r="D391" i="109"/>
  <c r="D451" i="110"/>
  <c r="D535" i="110"/>
  <c r="D655" i="110"/>
  <c r="D631" i="110"/>
  <c r="D139" i="110"/>
  <c r="D55" i="109"/>
  <c r="D427" i="109"/>
  <c r="D175" i="109"/>
  <c r="D91" i="110"/>
  <c r="D7" i="109"/>
  <c r="D415" i="109"/>
  <c r="D127" i="110"/>
  <c r="D751" i="110"/>
  <c r="D883" i="110"/>
  <c r="D223" i="110"/>
  <c r="D643" i="110"/>
  <c r="D607" i="110"/>
  <c r="D775" i="110"/>
  <c r="D451" i="109"/>
  <c r="D727" i="110"/>
  <c r="D379" i="109"/>
  <c r="D175" i="110"/>
  <c r="D439" i="110"/>
  <c r="D19" i="110"/>
  <c r="D307" i="109"/>
  <c r="D679" i="110"/>
  <c r="D31" i="110"/>
  <c r="D151" i="110"/>
  <c r="D703" i="110"/>
  <c r="D247" i="109"/>
  <c r="D523" i="110"/>
  <c r="D715" i="110"/>
  <c r="D319" i="110"/>
  <c r="D259" i="109"/>
  <c r="D559" i="110"/>
  <c r="D199" i="110"/>
  <c r="D31" i="109"/>
  <c r="D799" i="110"/>
  <c r="D355" i="110"/>
  <c r="D583" i="110"/>
  <c r="D67" i="110"/>
  <c r="D67" i="109"/>
  <c r="D571" i="110"/>
  <c r="D355" i="109"/>
  <c r="D223" i="109"/>
  <c r="D415" i="110"/>
  <c r="D331" i="109"/>
  <c r="D943" i="110"/>
  <c r="D859" i="110"/>
  <c r="D103" i="110"/>
  <c r="D319" i="109"/>
  <c r="D163" i="109"/>
  <c r="D115" i="109"/>
  <c r="D667" i="110"/>
  <c r="D595" i="110"/>
  <c r="D127" i="109"/>
  <c r="D295" i="109"/>
  <c r="D295" i="110"/>
  <c r="D331" i="110"/>
  <c r="D919" i="110"/>
  <c r="D283" i="110"/>
  <c r="D115" i="110"/>
  <c r="D811" i="110"/>
  <c r="D379" i="110"/>
  <c r="D19" i="109"/>
  <c r="D259" i="110"/>
  <c r="D463" i="109"/>
  <c r="D187" i="110"/>
  <c r="D475" i="109"/>
  <c r="D895" i="110"/>
  <c r="D847" i="110"/>
  <c r="D475" i="110"/>
  <c r="D199" i="109"/>
  <c r="D619" i="110"/>
  <c r="D691" i="110"/>
  <c r="D343" i="109"/>
  <c r="D151" i="109"/>
  <c r="D955" i="110"/>
  <c r="D43" i="110"/>
  <c r="D91" i="109"/>
  <c r="D283" i="109"/>
  <c r="D307" i="110"/>
  <c r="D835" i="110"/>
  <c r="D271" i="109"/>
  <c r="D403" i="110"/>
  <c r="D187" i="109"/>
  <c r="D391" i="110"/>
  <c r="D247" i="110"/>
  <c r="C6" i="56"/>
  <c r="C29" i="56"/>
  <c r="E73" i="127"/>
  <c r="E60" i="127"/>
  <c r="E21" i="127"/>
  <c r="E34" i="127"/>
  <c r="E47" i="127"/>
  <c r="B86" i="56"/>
  <c r="B72" i="56"/>
  <c r="B44" i="56"/>
  <c r="B30" i="56"/>
  <c r="B58" i="56"/>
  <c r="D347" i="110"/>
  <c r="D263" i="110"/>
  <c r="D119" i="110"/>
  <c r="D731" i="110"/>
  <c r="D923" i="110"/>
  <c r="D35" i="109"/>
  <c r="D95" i="109"/>
  <c r="D215" i="109"/>
  <c r="D431" i="110"/>
  <c r="D563" i="110"/>
  <c r="D359" i="110"/>
  <c r="D911" i="110"/>
  <c r="D479" i="110"/>
  <c r="D131" i="110"/>
  <c r="D251" i="109"/>
  <c r="D935" i="110"/>
  <c r="D623" i="110"/>
  <c r="D395" i="110"/>
  <c r="D275" i="109"/>
  <c r="D875" i="110"/>
  <c r="D695" i="110"/>
  <c r="D143" i="110"/>
  <c r="D371" i="110"/>
  <c r="D887" i="110"/>
  <c r="D83" i="109"/>
  <c r="D443" i="110"/>
  <c r="D131" i="109"/>
  <c r="D71" i="109"/>
  <c r="D155" i="109"/>
  <c r="D443" i="109"/>
  <c r="D839" i="110"/>
  <c r="D803" i="110"/>
  <c r="D371" i="109"/>
  <c r="D47" i="110"/>
  <c r="D383" i="110"/>
  <c r="D467" i="110"/>
  <c r="D263" i="109"/>
  <c r="D359" i="109"/>
  <c r="D431" i="109"/>
  <c r="D407" i="110"/>
  <c r="D947" i="110"/>
  <c r="D215" i="110"/>
  <c r="D455" i="110"/>
  <c r="D959" i="110"/>
  <c r="D47" i="109"/>
  <c r="D59" i="109"/>
  <c r="D167" i="109"/>
  <c r="D203" i="109"/>
  <c r="D299" i="109"/>
  <c r="D107" i="110"/>
  <c r="D671" i="110"/>
  <c r="D311" i="109"/>
  <c r="D11" i="109"/>
  <c r="D515" i="110"/>
  <c r="D575" i="110"/>
  <c r="D35" i="110"/>
  <c r="D851" i="110"/>
  <c r="D11" i="110"/>
  <c r="D191" i="110"/>
  <c r="D503" i="110"/>
  <c r="D119" i="109"/>
  <c r="D419" i="110"/>
  <c r="D683" i="110"/>
  <c r="D863" i="110"/>
  <c r="D479" i="109"/>
  <c r="D95" i="110"/>
  <c r="D527" i="110"/>
  <c r="D59" i="110"/>
  <c r="D323" i="109"/>
  <c r="D23" i="109"/>
  <c r="D467" i="109"/>
  <c r="D647" i="110"/>
  <c r="D311" i="110"/>
  <c r="D455" i="109"/>
  <c r="D275" i="110"/>
  <c r="D383" i="109"/>
  <c r="D203" i="110"/>
  <c r="D599" i="110"/>
  <c r="D227" i="110"/>
  <c r="D551" i="110"/>
  <c r="D191" i="109"/>
  <c r="D791" i="110"/>
  <c r="D659" i="110"/>
  <c r="D755" i="110"/>
  <c r="D251" i="110"/>
  <c r="D815" i="110"/>
  <c r="D899" i="110"/>
  <c r="D635" i="110"/>
  <c r="D71" i="110"/>
  <c r="D143" i="109"/>
  <c r="D347" i="109"/>
  <c r="D155" i="110"/>
  <c r="D419" i="109"/>
  <c r="D179" i="109"/>
  <c r="D23" i="110"/>
  <c r="D227" i="109"/>
  <c r="D491" i="110"/>
  <c r="D83" i="110"/>
  <c r="D323" i="110"/>
  <c r="D395" i="109"/>
  <c r="D587" i="110"/>
  <c r="D335" i="110"/>
  <c r="D299" i="110"/>
  <c r="D779" i="110"/>
  <c r="D707" i="110"/>
  <c r="D239" i="110"/>
  <c r="D719" i="110"/>
  <c r="D287" i="109"/>
  <c r="D827" i="110"/>
  <c r="D239" i="109"/>
  <c r="D611" i="110"/>
  <c r="D179" i="110"/>
  <c r="D539" i="110"/>
  <c r="D767" i="110"/>
  <c r="D287" i="110"/>
  <c r="D335" i="109"/>
  <c r="D407" i="109"/>
  <c r="D167" i="110"/>
  <c r="D743" i="110"/>
  <c r="D107" i="109"/>
  <c r="B59" i="127"/>
  <c r="E11" i="100"/>
  <c r="D321" i="110"/>
  <c r="D681" i="110"/>
  <c r="D873" i="110"/>
  <c r="D849" i="110"/>
  <c r="D921" i="110"/>
  <c r="D897" i="110"/>
  <c r="D33" i="109"/>
  <c r="D381" i="109"/>
  <c r="D837" i="110"/>
  <c r="D93" i="109"/>
  <c r="D489" i="110"/>
  <c r="D333" i="110"/>
  <c r="D309" i="109"/>
  <c r="D585" i="110"/>
  <c r="D165" i="110"/>
  <c r="D93" i="110"/>
  <c r="D117" i="109"/>
  <c r="D81" i="109"/>
  <c r="D249" i="109"/>
  <c r="D573" i="110"/>
  <c r="D309" i="110"/>
  <c r="D477" i="109"/>
  <c r="D57" i="110"/>
  <c r="D129" i="109"/>
  <c r="D261" i="110"/>
  <c r="D765" i="110"/>
  <c r="D177" i="109"/>
  <c r="D909" i="110"/>
  <c r="D801" i="110"/>
  <c r="D693" i="110"/>
  <c r="D405" i="110"/>
  <c r="D297" i="110"/>
  <c r="D729" i="110"/>
  <c r="D705" i="110"/>
  <c r="D165" i="109"/>
  <c r="D813" i="110"/>
  <c r="D81" i="110"/>
  <c r="D717" i="110"/>
  <c r="D345" i="109"/>
  <c r="D141" i="110"/>
  <c r="D441" i="109"/>
  <c r="D741" i="110"/>
  <c r="D45" i="110"/>
  <c r="D429" i="109"/>
  <c r="D525" i="110"/>
  <c r="D9" i="109"/>
  <c r="D69" i="110"/>
  <c r="D213" i="110"/>
  <c r="D249" i="110"/>
  <c r="D141" i="109"/>
  <c r="D945" i="110"/>
  <c r="D237" i="110"/>
  <c r="D465" i="110"/>
  <c r="D189" i="110"/>
  <c r="D621" i="110"/>
  <c r="D669" i="110"/>
  <c r="D933" i="110"/>
  <c r="D369" i="110"/>
  <c r="D273" i="109"/>
  <c r="D357" i="109"/>
  <c r="D129" i="110"/>
  <c r="D369" i="109"/>
  <c r="D513" i="110"/>
  <c r="D189" i="109"/>
  <c r="D153" i="109"/>
  <c r="D465" i="109"/>
  <c r="D57" i="109"/>
  <c r="D69" i="109"/>
  <c r="D45" i="109"/>
  <c r="D633" i="110"/>
  <c r="D501" i="110"/>
  <c r="D453" i="109"/>
  <c r="D285" i="109"/>
  <c r="D861" i="110"/>
  <c r="D825" i="110"/>
  <c r="D33" i="110"/>
  <c r="D225" i="109"/>
  <c r="D357" i="110"/>
  <c r="D261" i="109"/>
  <c r="D321" i="109"/>
  <c r="D297" i="109"/>
  <c r="D549" i="110"/>
  <c r="D105" i="109"/>
  <c r="D957" i="110"/>
  <c r="D177" i="110"/>
  <c r="D393" i="110"/>
  <c r="D225" i="110"/>
  <c r="D597" i="110"/>
  <c r="D777" i="110"/>
  <c r="D429" i="110"/>
  <c r="D237" i="109"/>
  <c r="D885" i="110"/>
  <c r="D21" i="110"/>
  <c r="D105" i="110"/>
  <c r="D213" i="109"/>
  <c r="D453" i="110"/>
  <c r="D537" i="110"/>
  <c r="D477" i="110"/>
  <c r="D417" i="109"/>
  <c r="D789" i="110"/>
  <c r="D201" i="110"/>
  <c r="D561" i="110"/>
  <c r="D405" i="109"/>
  <c r="D441" i="110"/>
  <c r="D21" i="109"/>
  <c r="D609" i="110"/>
  <c r="D273" i="110"/>
  <c r="D417" i="110"/>
  <c r="D753" i="110"/>
  <c r="D285" i="110"/>
  <c r="D9" i="110"/>
  <c r="D345" i="110"/>
  <c r="D393" i="109"/>
  <c r="D201" i="109"/>
  <c r="D657" i="110"/>
  <c r="D153" i="110"/>
  <c r="D645" i="110"/>
  <c r="D381" i="110"/>
  <c r="D333" i="109"/>
  <c r="D117" i="110"/>
  <c r="C85" i="56"/>
  <c r="C10" i="56"/>
  <c r="F5" i="100"/>
  <c r="I3" i="80"/>
  <c r="C43" i="56"/>
  <c r="C7" i="56"/>
  <c r="B7" i="127"/>
  <c r="E7" i="100"/>
  <c r="C21" i="127"/>
  <c r="C60" i="127"/>
  <c r="C73" i="127"/>
  <c r="C47" i="127"/>
  <c r="C34" i="127"/>
  <c r="D58" i="56"/>
  <c r="D86" i="56"/>
  <c r="D72" i="56"/>
  <c r="D44" i="56"/>
  <c r="D30" i="56"/>
  <c r="C58" i="56"/>
  <c r="C86" i="56"/>
  <c r="C72" i="56"/>
  <c r="C30" i="56"/>
  <c r="C44" i="56"/>
  <c r="C71" i="56"/>
  <c r="C9" i="56"/>
  <c r="C66" i="124"/>
  <c r="C69" i="124"/>
  <c r="B46" i="127"/>
  <c r="E10" i="100"/>
  <c r="O5" i="108"/>
  <c r="M5" i="108"/>
  <c r="D5" i="108"/>
  <c r="C15" i="56"/>
  <c r="C5" i="56"/>
  <c r="F30" i="56"/>
  <c r="F44" i="56"/>
  <c r="F72" i="56"/>
  <c r="F86" i="56"/>
  <c r="F58" i="56"/>
  <c r="G5" i="100"/>
  <c r="I4" i="87"/>
  <c r="J4" i="76"/>
  <c r="E30" i="56"/>
  <c r="E44" i="56"/>
  <c r="E72" i="56"/>
  <c r="E86" i="56"/>
  <c r="E58" i="56"/>
  <c r="B33" i="127"/>
  <c r="E9" i="100"/>
  <c r="F21" i="127"/>
  <c r="F34" i="127"/>
  <c r="F47" i="127"/>
  <c r="F73" i="127"/>
  <c r="F60" i="127"/>
  <c r="H44" i="56"/>
  <c r="I16" i="56"/>
  <c r="H72" i="56"/>
  <c r="H86" i="56"/>
  <c r="H58" i="56"/>
  <c r="H30" i="56"/>
  <c r="C182" i="124"/>
  <c r="C180" i="124"/>
  <c r="K5" i="124" l="1"/>
  <c r="J6" i="124"/>
  <c r="I30" i="56"/>
  <c r="I32" i="56"/>
  <c r="I31" i="56"/>
  <c r="I59" i="56"/>
  <c r="I58" i="56"/>
  <c r="I60" i="56"/>
  <c r="I46" i="56"/>
  <c r="I44" i="56"/>
  <c r="I45" i="56"/>
  <c r="I86" i="56"/>
  <c r="I88" i="56"/>
  <c r="I87" i="56"/>
  <c r="I72" i="56"/>
  <c r="I73" i="56"/>
  <c r="I74" i="56"/>
  <c r="K6" i="124" l="1"/>
  <c r="L5" i="124"/>
  <c r="L6" i="124" l="1"/>
  <c r="M5" i="124"/>
  <c r="N5" i="124" l="1"/>
  <c r="M6" i="124"/>
  <c r="O5" i="124" l="1"/>
  <c r="N6" i="124"/>
  <c r="P5" i="124" l="1"/>
  <c r="P6" i="124" s="1"/>
  <c r="O6" i="1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Alessandra</author>
  </authors>
  <commentList>
    <comment ref="D9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Alessandra:</t>
        </r>
        <r>
          <rPr>
            <sz val="9"/>
            <color indexed="81"/>
            <rFont val="Tahoma"/>
            <family val="2"/>
          </rPr>
          <t xml:space="preserve">
falls zu "probabilité" gehörend: weibliche Form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iSerge</author>
  </authors>
  <commentList>
    <comment ref="G4" authorId="0" shapeId="0" xr:uid="{00000000-0006-0000-0300-000001000000}">
      <text>
        <r>
          <rPr>
            <sz val="9"/>
            <color indexed="81"/>
            <rFont val="Tahoma"/>
            <family val="2"/>
          </rPr>
          <t>min. 1
max. 3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iSerge</author>
  </authors>
  <commentList>
    <comment ref="H30" authorId="0" shapeId="0" xr:uid="{00000000-0006-0000-0400-000001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44" authorId="0" shapeId="0" xr:uid="{00000000-0006-0000-0400-000002000000}">
      <text>
        <r>
          <rPr>
            <sz val="9"/>
            <color indexed="81"/>
            <rFont val="Tahoma"/>
            <family val="2"/>
          </rPr>
          <t xml:space="preserve">1=grün
2=orange
3=rot
</t>
        </r>
      </text>
    </comment>
    <comment ref="H58" authorId="0" shapeId="0" xr:uid="{00000000-0006-0000-0400-000003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72" authorId="0" shapeId="0" xr:uid="{00000000-0006-0000-0400-000004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86" authorId="0" shapeId="0" xr:uid="{00000000-0006-0000-0400-000005000000}">
      <text>
        <r>
          <rPr>
            <sz val="9"/>
            <color indexed="81"/>
            <rFont val="Tahoma"/>
            <family val="2"/>
          </rPr>
          <t xml:space="preserve">1=grün
2=orange
3=rot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iSerge</author>
  </authors>
  <commentList>
    <comment ref="D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U</t>
        </r>
        <r>
          <rPr>
            <sz val="9"/>
            <color indexed="81"/>
            <rFont val="Tahoma"/>
            <family val="2"/>
          </rPr>
          <t xml:space="preserve">nique </t>
        </r>
        <r>
          <rPr>
            <b/>
            <sz val="9"/>
            <color indexed="81"/>
            <rFont val="Tahoma"/>
            <family val="2"/>
          </rPr>
          <t>S</t>
        </r>
        <r>
          <rPr>
            <sz val="9"/>
            <color indexed="81"/>
            <rFont val="Tahoma"/>
            <family val="2"/>
          </rPr>
          <t>elling</t>
        </r>
        <r>
          <rPr>
            <b/>
            <sz val="9"/>
            <color indexed="81"/>
            <rFont val="Tahoma"/>
            <family val="2"/>
          </rPr>
          <t xml:space="preserve"> P</t>
        </r>
        <r>
          <rPr>
            <sz val="9"/>
            <color indexed="81"/>
            <rFont val="Tahoma"/>
            <family val="2"/>
          </rPr>
          <t>roposition
min. = 1
max. = 10</t>
        </r>
      </text>
    </comment>
    <comment ref="E4" authorId="0" shapeId="0" xr:uid="{00000000-0006-0000-0800-000002000000}">
      <text>
        <r>
          <rPr>
            <sz val="9"/>
            <color indexed="81"/>
            <rFont val="Tahoma"/>
            <family val="2"/>
          </rPr>
          <t>min. = 1
max. = 10</t>
        </r>
      </text>
    </comment>
    <comment ref="F4" authorId="0" shapeId="0" xr:uid="{00000000-0006-0000-0800-000003000000}">
      <text>
        <r>
          <rPr>
            <sz val="9"/>
            <color indexed="81"/>
            <rFont val="Tahoma"/>
            <family val="2"/>
          </rPr>
          <t>min. = 1
max. = 3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iSerge</author>
  </authors>
  <commentList>
    <comment ref="D4" authorId="0" shapeId="0" xr:uid="{00000000-0006-0000-0B00-000001000000}">
      <text>
        <r>
          <rPr>
            <sz val="9"/>
            <color indexed="81"/>
            <rFont val="Tahoma"/>
            <family val="2"/>
          </rPr>
          <t>min. = 1
max. = 10</t>
        </r>
      </text>
    </comment>
    <comment ref="E4" authorId="0" shapeId="0" xr:uid="{00000000-0006-0000-0B00-000002000000}">
      <text>
        <r>
          <rPr>
            <sz val="9"/>
            <color indexed="81"/>
            <rFont val="Tahoma"/>
            <family val="2"/>
          </rPr>
          <t>min. = 1
max. = 10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34" authorId="0" shapeId="0" xr:uid="{00000000-0006-0000-0C00-000001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F47" authorId="0" shapeId="0" xr:uid="{00000000-0006-0000-0C00-000002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F60" authorId="0" shapeId="0" xr:uid="{00000000-0006-0000-0C00-000003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F73" authorId="0" shapeId="0" xr:uid="{00000000-0006-0000-0C00-000004000000}">
      <text>
        <r>
          <rPr>
            <sz val="9"/>
            <color indexed="81"/>
            <rFont val="Tahoma"/>
            <family val="2"/>
          </rPr>
          <t>min. = 0
max. = 4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iSerge</author>
  </authors>
  <commentList>
    <comment ref="Q7" authorId="0" shapeId="0" xr:uid="{00000000-0006-0000-0D00-000001000000}">
      <text>
        <r>
          <rPr>
            <b/>
            <sz val="9"/>
            <color indexed="81"/>
            <rFont val="Tahoma"/>
            <family val="2"/>
          </rPr>
          <t>iSerge:</t>
        </r>
        <r>
          <rPr>
            <sz val="9"/>
            <color indexed="81"/>
            <rFont val="Tahoma"/>
            <family val="2"/>
          </rPr>
          <t xml:space="preserve">
Berechnet die erste letzte noch ausgefüllte zelle</t>
        </r>
      </text>
    </comment>
  </commentList>
</comments>
</file>

<file path=xl/sharedStrings.xml><?xml version="1.0" encoding="utf-8"?>
<sst xmlns="http://schemas.openxmlformats.org/spreadsheetml/2006/main" count="1617" uniqueCount="1017">
  <si>
    <t>Nr.</t>
  </si>
  <si>
    <t>Status</t>
  </si>
  <si>
    <t>Interessen, Erwartungen</t>
  </si>
  <si>
    <t>regelmässiger Kontakt</t>
  </si>
  <si>
    <t>Auswirkungen</t>
  </si>
  <si>
    <t>Trend</t>
  </si>
  <si>
    <t>Chancen</t>
  </si>
  <si>
    <t>Stärken</t>
  </si>
  <si>
    <t>Gefahren</t>
  </si>
  <si>
    <t>Mögliche Massnahmen</t>
  </si>
  <si>
    <t>Risiko</t>
  </si>
  <si>
    <t>Bemerkungen</t>
  </si>
  <si>
    <t>Politische Einflussfaktoren</t>
  </si>
  <si>
    <t>Einflussfaktoren</t>
  </si>
  <si>
    <t>Ökonomische Einflussfaktoren</t>
  </si>
  <si>
    <t>Soziologische Einflussfaktoren</t>
  </si>
  <si>
    <t>Technologische Einflussfaktoren</t>
  </si>
  <si>
    <t>Rechtliche Einflussfaktoren</t>
  </si>
  <si>
    <t>Ökologische Einflussfaktoren</t>
  </si>
  <si>
    <t>Remarques</t>
  </si>
  <si>
    <t>mittel</t>
  </si>
  <si>
    <t>No.</t>
  </si>
  <si>
    <t>häufiger Kontakt</t>
  </si>
  <si>
    <t>seltener Kontakt</t>
  </si>
  <si>
    <t>contacts rares</t>
  </si>
  <si>
    <t>Anspruchsgruppe</t>
  </si>
  <si>
    <t>Stärke der Interessen</t>
  </si>
  <si>
    <t>Mesures possibles</t>
  </si>
  <si>
    <t>Statut</t>
  </si>
  <si>
    <t>Facteurs d'influence</t>
  </si>
  <si>
    <t>Impact</t>
  </si>
  <si>
    <t>Quelle</t>
  </si>
  <si>
    <t>Source</t>
  </si>
  <si>
    <t>Risque</t>
  </si>
  <si>
    <t>Étendue des dommages</t>
  </si>
  <si>
    <t>Stärken / Schwächen -&gt; interne Faktoren</t>
  </si>
  <si>
    <t>Pondération</t>
  </si>
  <si>
    <t>Gewichtung</t>
  </si>
  <si>
    <t>Chancen / Gefahren -&gt; externe Faktoren</t>
  </si>
  <si>
    <t>Forces</t>
  </si>
  <si>
    <t>Schwächen</t>
  </si>
  <si>
    <t>Schadens-ausmass</t>
  </si>
  <si>
    <t>Probabilité d'occurrence</t>
  </si>
  <si>
    <t>Höhe des Einflusses</t>
  </si>
  <si>
    <t>Grösse der Gruppe</t>
  </si>
  <si>
    <t>Taille du groupe</t>
  </si>
  <si>
    <t>Chancen (+) und 
Gefahren (-)</t>
  </si>
  <si>
    <t>Chances (+) et 
Dangers (-)</t>
  </si>
  <si>
    <t>Konkurrenz</t>
  </si>
  <si>
    <t>Concurrence</t>
  </si>
  <si>
    <t>Vergleichsobjekte</t>
  </si>
  <si>
    <t>Wir</t>
  </si>
  <si>
    <t>Nous</t>
  </si>
  <si>
    <t>l</t>
  </si>
  <si>
    <t>u</t>
  </si>
  <si>
    <t>Deutsch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</si>
  <si>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</si>
  <si>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</si>
  <si>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</si>
  <si>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</si>
  <si>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</si>
  <si>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</si>
  <si>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</si>
  <si>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</si>
  <si>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Français</t>
  </si>
  <si>
    <t>Phasen</t>
  </si>
  <si>
    <t>Phases</t>
  </si>
  <si>
    <t>Fragen</t>
  </si>
  <si>
    <t>Questions</t>
  </si>
  <si>
    <t>Instrumente</t>
  </si>
  <si>
    <t>extern</t>
  </si>
  <si>
    <t>externe</t>
  </si>
  <si>
    <t>intern</t>
  </si>
  <si>
    <t>interne</t>
  </si>
  <si>
    <t>IST-Zustand</t>
  </si>
  <si>
    <t>ÉTAT actuel</t>
  </si>
  <si>
    <t>SOLL-Zustand</t>
  </si>
  <si>
    <t>Szenarien</t>
  </si>
  <si>
    <t>Kennzahlen</t>
  </si>
  <si>
    <t>Chiffres clé</t>
  </si>
  <si>
    <t>Wie erreichen wir unsere Ziele?</t>
  </si>
  <si>
    <t>Strategien entwickeln</t>
  </si>
  <si>
    <t>Wie setzen wir um? Wie sichern wir den Erfolg?</t>
  </si>
  <si>
    <t>weites Umfeld</t>
  </si>
  <si>
    <t>nahes Umfeld</t>
  </si>
  <si>
    <t>hoch</t>
  </si>
  <si>
    <t>Einfluss der Stakeholder</t>
  </si>
  <si>
    <t>gering</t>
  </si>
  <si>
    <t>Schadensausmass</t>
  </si>
  <si>
    <t>Kein Handlungsbedarf</t>
  </si>
  <si>
    <t>Handlungsbedarf</t>
  </si>
  <si>
    <t>Akuter Handlungsbedarf</t>
  </si>
  <si>
    <t>faible</t>
  </si>
  <si>
    <t>Étendue des dégâts</t>
  </si>
  <si>
    <t>Action urgente</t>
  </si>
  <si>
    <t>Opportunités</t>
  </si>
  <si>
    <t>Potentiel</t>
  </si>
  <si>
    <t>x!A192</t>
  </si>
  <si>
    <t>Scénarios</t>
  </si>
  <si>
    <t>Comment atteindre nos objectifs ?</t>
  </si>
  <si>
    <t>Comment réaliser ? Comment assurer le succès ?</t>
  </si>
  <si>
    <t>Plan des mesures</t>
  </si>
  <si>
    <t>Développer stratégies</t>
  </si>
  <si>
    <t>Contexte large</t>
  </si>
  <si>
    <t>Contexte restreint</t>
  </si>
  <si>
    <t>contacts fréquents</t>
  </si>
  <si>
    <t>contacts réguliers</t>
  </si>
  <si>
    <t>Influence des parties prenantes</t>
  </si>
  <si>
    <t>grande</t>
  </si>
  <si>
    <t>petite</t>
  </si>
  <si>
    <t>Groupe de parties prenantes</t>
  </si>
  <si>
    <t>Intérêt, attentes</t>
  </si>
  <si>
    <t>Etendue de l'intérêt</t>
  </si>
  <si>
    <t>Etendue de l'influence</t>
  </si>
  <si>
    <t>Facteurs d'influence politique</t>
  </si>
  <si>
    <t>Intensité de l'impact</t>
  </si>
  <si>
    <t>Facteurs d'influence économique</t>
  </si>
  <si>
    <t>Facteurs d'influence sociologique</t>
  </si>
  <si>
    <t>Facteurs d'influence technologique</t>
  </si>
  <si>
    <t>Facteurs d'influence écologique</t>
  </si>
  <si>
    <t>Facteurs d'influence législative</t>
  </si>
  <si>
    <t>Ten-
dance</t>
  </si>
  <si>
    <t>élevée</t>
  </si>
  <si>
    <t>moyenne</t>
  </si>
  <si>
    <t>Aucune action nécessaire</t>
  </si>
  <si>
    <t>Action nécessaire</t>
  </si>
  <si>
    <t>Objets de comparaison</t>
  </si>
  <si>
    <t>Forces / faiblesses -&gt; facteurs internes</t>
  </si>
  <si>
    <t>Faiblesses</t>
  </si>
  <si>
    <t>Outils</t>
  </si>
  <si>
    <t>Stärken / Schwächen</t>
  </si>
  <si>
    <t>Forces / faiblesses</t>
  </si>
  <si>
    <t>Chancen / Gefahren</t>
  </si>
  <si>
    <t>Potenzial</t>
  </si>
  <si>
    <t>Sources de revenus</t>
  </si>
  <si>
    <t>Structure des coûts</t>
  </si>
  <si>
    <t>in %</t>
  </si>
  <si>
    <t>en %</t>
  </si>
  <si>
    <t>S T A K E H O L D E R - A N A L Y S E</t>
  </si>
  <si>
    <t>A N A L Y S E   D E S   P A R T I E S   P R E N A N T E S</t>
  </si>
  <si>
    <t>Canaux de distribution</t>
  </si>
  <si>
    <t>gross</t>
  </si>
  <si>
    <t>grand</t>
  </si>
  <si>
    <t>klein</t>
  </si>
  <si>
    <t>petit</t>
  </si>
  <si>
    <t>P E S T E L - A N A L Y S E</t>
  </si>
  <si>
    <t>A N A L Y S E   P E S T E L</t>
  </si>
  <si>
    <t>Verbesserungsmassnahmen</t>
  </si>
  <si>
    <t>Propositions d'amélioration</t>
  </si>
  <si>
    <t>ÉTAT futur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</si>
  <si>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</si>
  <si>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</si>
  <si>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</si>
  <si>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</si>
  <si>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</si>
  <si>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</si>
  <si>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</si>
  <si>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</si>
  <si>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</si>
  <si>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</si>
  <si>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</si>
  <si>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</si>
  <si>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</si>
  <si>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</si>
  <si>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</si>
  <si>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Étendue de l'impact</t>
  </si>
  <si>
    <t>Ausmass der Auswirkungen</t>
  </si>
  <si>
    <t>Eintretens-wahrscheinlich-keit</t>
  </si>
  <si>
    <t>Publicité</t>
  </si>
  <si>
    <t>Menaces</t>
  </si>
  <si>
    <t>Opportunités / menaces -&gt; facteurs externes</t>
  </si>
  <si>
    <t>Opportunités / menaces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</si>
  <si>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</si>
  <si>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</si>
  <si>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</si>
  <si>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</si>
  <si>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</si>
  <si>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</si>
  <si>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</si>
  <si>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</si>
  <si>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</si>
  <si>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</si>
  <si>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</si>
  <si>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</si>
  <si>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</si>
  <si>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</si>
  <si>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</si>
  <si>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</si>
  <si>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</si>
  <si>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</si>
  <si>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</si>
  <si>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</si>
  <si>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</si>
  <si>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</si>
  <si>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</si>
  <si>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</si>
  <si>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</si>
  <si>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</si>
  <si>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</si>
  <si>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</si>
  <si>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</si>
  <si>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</si>
  <si>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</si>
  <si>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</si>
  <si>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</si>
  <si>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</si>
  <si>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</si>
  <si>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</si>
  <si>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</si>
  <si>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</si>
  <si>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</si>
  <si>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</si>
  <si>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</si>
  <si>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</si>
  <si>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</si>
  <si>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</si>
  <si>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</si>
  <si>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</si>
  <si>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</si>
  <si>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</si>
  <si>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</si>
  <si>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</si>
  <si>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</si>
  <si>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</si>
  <si>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</si>
  <si>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</si>
  <si>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</si>
  <si>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</si>
  <si>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</si>
  <si>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</si>
  <si>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</si>
  <si>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</si>
  <si>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</si>
  <si>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</si>
  <si>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</si>
  <si>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</si>
  <si>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</si>
  <si>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</si>
  <si>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</si>
  <si>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</si>
  <si>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</si>
  <si>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</si>
  <si>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</si>
  <si>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</si>
  <si>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s19</t>
  </si>
  <si>
    <t>s20</t>
  </si>
  <si>
    <t>Relation client</t>
  </si>
  <si>
    <t>Plan marketing</t>
  </si>
  <si>
    <t>Kunden-beziehung</t>
  </si>
  <si>
    <t>Risiko-management</t>
  </si>
  <si>
    <t>Massnahmen-
Plan</t>
  </si>
  <si>
    <t>Umsetzung &amp; Controlling</t>
  </si>
  <si>
    <t>Réalisation &amp; Controlling</t>
  </si>
  <si>
    <t>Gestion des risques</t>
  </si>
  <si>
    <t>Analyse de la situation</t>
  </si>
  <si>
    <t>Benchmark</t>
  </si>
  <si>
    <t>Total</t>
  </si>
  <si>
    <t>Alles anzeigen</t>
  </si>
  <si>
    <t>Afficher tout</t>
  </si>
  <si>
    <t>Filter Druck</t>
  </si>
  <si>
    <t>Filtre impression</t>
  </si>
  <si>
    <t>Links zu Dokumenten</t>
  </si>
  <si>
    <t>Liens vers des documents</t>
  </si>
  <si>
    <t>E I N G A B E M A S K E</t>
  </si>
  <si>
    <t>M A S Q U E   D E   S A I S I E</t>
  </si>
  <si>
    <t>Strategische Indikatoren</t>
  </si>
  <si>
    <t>Indicateurs stratégiques</t>
  </si>
  <si>
    <t>IST</t>
  </si>
  <si>
    <t>ÊTRE</t>
  </si>
  <si>
    <t>SOLL</t>
  </si>
  <si>
    <t>DOIT</t>
  </si>
  <si>
    <t>erreicht</t>
  </si>
  <si>
    <t>atteint</t>
  </si>
  <si>
    <t>rot</t>
  </si>
  <si>
    <t>rouge</t>
  </si>
  <si>
    <t>gelb</t>
  </si>
  <si>
    <t>jaune</t>
  </si>
  <si>
    <t>Link zum Projekt</t>
  </si>
  <si>
    <t>Lien vers projet</t>
  </si>
  <si>
    <t>Beginn</t>
  </si>
  <si>
    <t>Début</t>
  </si>
  <si>
    <t>Ende</t>
  </si>
  <si>
    <t>Fin</t>
  </si>
  <si>
    <t>Wer?</t>
  </si>
  <si>
    <t>Qui?</t>
  </si>
  <si>
    <t>S T R A T E G I S C H E   I N D I K A T O R E N</t>
  </si>
  <si>
    <t>I N D I C A T E U R S   S T R A T É G I Q U E</t>
  </si>
  <si>
    <t>Berechnung</t>
  </si>
  <si>
    <t>Beschreibung/Bemerkungen</t>
  </si>
  <si>
    <t>Description/Remarques</t>
  </si>
  <si>
    <t>Erhebungszeitpunkt &amp; Branchenvergleich</t>
  </si>
  <si>
    <t>Moment de l'enquête &amp; Comparaison avec la branche</t>
  </si>
  <si>
    <t xml:space="preserve">Filter in Kolonne B 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</si>
  <si>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</si>
  <si>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</si>
  <si>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</si>
  <si>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</si>
  <si>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</si>
  <si>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</si>
  <si>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</si>
  <si>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</si>
  <si>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</si>
  <si>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</si>
  <si>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</si>
  <si>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</si>
  <si>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</si>
  <si>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</si>
  <si>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</si>
  <si>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</si>
  <si>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</si>
  <si>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</si>
  <si>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</si>
  <si>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</si>
  <si>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</si>
  <si>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</si>
  <si>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s21</t>
  </si>
  <si>
    <t>o41</t>
  </si>
  <si>
    <t>o42</t>
  </si>
  <si>
    <t>s22</t>
  </si>
  <si>
    <t>o43</t>
  </si>
  <si>
    <t>o44</t>
  </si>
  <si>
    <t>s23</t>
  </si>
  <si>
    <t>o45</t>
  </si>
  <si>
    <t>o46</t>
  </si>
  <si>
    <t>s24</t>
  </si>
  <si>
    <t>o47</t>
  </si>
  <si>
    <t>o48</t>
  </si>
  <si>
    <t>s25</t>
  </si>
  <si>
    <t>o49</t>
  </si>
  <si>
    <t>o50</t>
  </si>
  <si>
    <t>s26</t>
  </si>
  <si>
    <t>o51</t>
  </si>
  <si>
    <t>o52</t>
  </si>
  <si>
    <t>s27</t>
  </si>
  <si>
    <t>o53</t>
  </si>
  <si>
    <t>o54</t>
  </si>
  <si>
    <t>s28</t>
  </si>
  <si>
    <t>o55</t>
  </si>
  <si>
    <t>o56</t>
  </si>
  <si>
    <t>s29</t>
  </si>
  <si>
    <t>o57</t>
  </si>
  <si>
    <t>o58</t>
  </si>
  <si>
    <t>s30</t>
  </si>
  <si>
    <t>o59</t>
  </si>
  <si>
    <t>o60</t>
  </si>
  <si>
    <t>s31</t>
  </si>
  <si>
    <t>o61</t>
  </si>
  <si>
    <t>o62</t>
  </si>
  <si>
    <t>s32</t>
  </si>
  <si>
    <t>o63</t>
  </si>
  <si>
    <t>o64</t>
  </si>
  <si>
    <t>s33</t>
  </si>
  <si>
    <t>o65</t>
  </si>
  <si>
    <t>o66</t>
  </si>
  <si>
    <t>s34</t>
  </si>
  <si>
    <t>o67</t>
  </si>
  <si>
    <t>o68</t>
  </si>
  <si>
    <t>s35</t>
  </si>
  <si>
    <t>o69</t>
  </si>
  <si>
    <t>o70</t>
  </si>
  <si>
    <t>s36</t>
  </si>
  <si>
    <t>o71</t>
  </si>
  <si>
    <t>o72</t>
  </si>
  <si>
    <t>s37</t>
  </si>
  <si>
    <t>o73</t>
  </si>
  <si>
    <t>o74</t>
  </si>
  <si>
    <t>s38</t>
  </si>
  <si>
    <t>o75</t>
  </si>
  <si>
    <t>o76</t>
  </si>
  <si>
    <t>s39</t>
  </si>
  <si>
    <t>o77</t>
  </si>
  <si>
    <t>o78</t>
  </si>
  <si>
    <t>s40</t>
  </si>
  <si>
    <t>o79</t>
  </si>
  <si>
    <t>o80</t>
  </si>
  <si>
    <t xml:space="preserve">
</t>
  </si>
  <si>
    <t>Indikatoren</t>
  </si>
  <si>
    <t>Indicateurs</t>
  </si>
  <si>
    <t>Ziel 1</t>
  </si>
  <si>
    <t>Indikator 1</t>
  </si>
  <si>
    <t>Ziel 2</t>
  </si>
  <si>
    <t>Ziel 3</t>
  </si>
  <si>
    <t>I N D I K A T O R E N   Z I E L E</t>
  </si>
  <si>
    <t>I N D I C A T E U R S   O B J E C T I F S</t>
  </si>
  <si>
    <t>Chaîne de valeur</t>
  </si>
  <si>
    <t>Wertschöpfungs-kette</t>
  </si>
  <si>
    <t>Distributions-kanäle</t>
  </si>
  <si>
    <t>Budget</t>
  </si>
  <si>
    <t>Zielgruppen</t>
  </si>
  <si>
    <t>Public cible</t>
  </si>
  <si>
    <t>Totale</t>
  </si>
  <si>
    <t>K O M M U N I K A T I O N</t>
  </si>
  <si>
    <t>C O M M U N I C A T I O N</t>
  </si>
  <si>
    <t>Werbung</t>
  </si>
  <si>
    <t>Verkaufsförderung</t>
  </si>
  <si>
    <t>Direct Marketing</t>
  </si>
  <si>
    <t>Public Relations</t>
  </si>
  <si>
    <t>Relations publiques</t>
  </si>
  <si>
    <t>Marketing direct</t>
  </si>
  <si>
    <t>Promotion des ventes</t>
  </si>
  <si>
    <t>Verkaufs-förderung</t>
  </si>
  <si>
    <t>Kommunikation</t>
  </si>
  <si>
    <t>Communication</t>
  </si>
  <si>
    <t>Intérêt des parties prenantes</t>
  </si>
  <si>
    <t>Calcul</t>
  </si>
  <si>
    <t>English</t>
  </si>
  <si>
    <t>Italiano</t>
  </si>
  <si>
    <t>contact info@2imanagement.ch</t>
  </si>
  <si>
    <t>Pers. Verkauf</t>
  </si>
  <si>
    <t>Vente personnelle</t>
  </si>
  <si>
    <t>Internet</t>
  </si>
  <si>
    <t>Social Medias</t>
  </si>
  <si>
    <t>Diverses</t>
  </si>
  <si>
    <t>Divers</t>
  </si>
  <si>
    <t>Aktualisiert am:</t>
  </si>
  <si>
    <t>Mis à jour le :</t>
  </si>
  <si>
    <t>Comparaison 1</t>
  </si>
  <si>
    <t>Comparaison 2</t>
  </si>
  <si>
    <t>Opportunité 1</t>
  </si>
  <si>
    <t>Danger 1</t>
  </si>
  <si>
    <t xml:space="preserve">Force 1
</t>
  </si>
  <si>
    <t xml:space="preserve">
</t>
  </si>
  <si>
    <t>C U S T O M E R   E M P A T H Y   M A P</t>
  </si>
  <si>
    <t>what really counts
mayor preoccupations
worries &amp; aspirations</t>
  </si>
  <si>
    <t>what friends say
what boss says
what influencers say</t>
  </si>
  <si>
    <t>attitude in public
appearance
behavior toward others</t>
  </si>
  <si>
    <t>environment
friends
what the market offers</t>
  </si>
  <si>
    <t>fears
frustrations
obstacles</t>
  </si>
  <si>
    <t>wants/needs
measures of success
obstacles</t>
  </si>
  <si>
    <t>Empathy</t>
  </si>
  <si>
    <t>Stärke der Auswirkung</t>
  </si>
  <si>
    <t>Faiblesse 1</t>
  </si>
  <si>
    <t>Zufrieden halten</t>
  </si>
  <si>
    <t>Maintenir satisfait</t>
  </si>
  <si>
    <t>Keep satisfied</t>
  </si>
  <si>
    <t>mantenere soddisfatto</t>
  </si>
  <si>
    <t>Beobachten</t>
  </si>
  <si>
    <t>Surveiller</t>
  </si>
  <si>
    <t>Monitor</t>
  </si>
  <si>
    <t>monitorare</t>
  </si>
  <si>
    <t>Informiert halten</t>
  </si>
  <si>
    <t>Tenir informé</t>
  </si>
  <si>
    <t>Keep informed</t>
  </si>
  <si>
    <t>tenere informati</t>
  </si>
  <si>
    <t xml:space="preserve">Intensive Betreuung </t>
  </si>
  <si>
    <t>Suivre de près</t>
  </si>
  <si>
    <t>Manage closely</t>
  </si>
  <si>
    <t>gestire strettamente</t>
  </si>
  <si>
    <t>Gruppe 2</t>
  </si>
  <si>
    <t>Risk 1</t>
  </si>
  <si>
    <t>Risk 2</t>
  </si>
  <si>
    <t>S T A K E H O L D E R   A N A L Y S I S</t>
  </si>
  <si>
    <t xml:space="preserve"> A N A L I S I   D E G L I   S T A K E H O L D E R</t>
  </si>
  <si>
    <t>Wider environment</t>
  </si>
  <si>
    <t>Contesto ampio</t>
  </si>
  <si>
    <t>Immediate environment</t>
  </si>
  <si>
    <t>Contesto ristretto</t>
  </si>
  <si>
    <t>Internal</t>
  </si>
  <si>
    <t>interno</t>
  </si>
  <si>
    <t>Us</t>
  </si>
  <si>
    <t>Noi</t>
  </si>
  <si>
    <t>Frequent contacts</t>
  </si>
  <si>
    <t>Contatti frequenti</t>
  </si>
  <si>
    <t>Regular contacts</t>
  </si>
  <si>
    <t>Contatti regolari</t>
  </si>
  <si>
    <t>Rare contacts</t>
  </si>
  <si>
    <t>Contatti rari</t>
  </si>
  <si>
    <t>High</t>
  </si>
  <si>
    <t>alto</t>
  </si>
  <si>
    <t>Big</t>
  </si>
  <si>
    <t>Stakeholder influence</t>
  </si>
  <si>
    <t>Influsso degli stakeholder</t>
  </si>
  <si>
    <t>Low</t>
  </si>
  <si>
    <t>basso</t>
  </si>
  <si>
    <t>Small</t>
  </si>
  <si>
    <t>piccolo</t>
  </si>
  <si>
    <t>Stakeholder interest</t>
  </si>
  <si>
    <t>Interesse degli stakeholder</t>
  </si>
  <si>
    <t>N.</t>
  </si>
  <si>
    <t>Stakeholder group</t>
  </si>
  <si>
    <t>Gruppo di stakeholder</t>
  </si>
  <si>
    <t>Interests, expectations</t>
  </si>
  <si>
    <t>Interessi, attese</t>
  </si>
  <si>
    <t>Extent of interests</t>
  </si>
  <si>
    <t>Intensità degli interessi</t>
  </si>
  <si>
    <t>Degree of influence</t>
  </si>
  <si>
    <t>Intensità dell'influsso</t>
  </si>
  <si>
    <t>Chances (+) and 
dangers (-)</t>
  </si>
  <si>
    <t>Opportunità (+) e 
pericoli (-)</t>
  </si>
  <si>
    <t>Possible measures</t>
  </si>
  <si>
    <t>Misure possibili</t>
  </si>
  <si>
    <t>Statuto</t>
  </si>
  <si>
    <t>Size of group</t>
  </si>
  <si>
    <t>Dimensioni del gruppo</t>
  </si>
  <si>
    <t xml:space="preserve">A N A L I S I   D E G L I   S T A K E H O L D E R </t>
  </si>
  <si>
    <t>P E S T E L   A N A L Y S I S</t>
  </si>
  <si>
    <t xml:space="preserve">A N A L I S I    P E S T E L </t>
  </si>
  <si>
    <t>Political influence factors</t>
  </si>
  <si>
    <t>Fattori d'influsso politico</t>
  </si>
  <si>
    <t>Influence factors</t>
  </si>
  <si>
    <t>Fattori d'influsso</t>
  </si>
  <si>
    <t>Consequences</t>
  </si>
  <si>
    <t>Impatto</t>
  </si>
  <si>
    <t>Impact of consequences</t>
  </si>
  <si>
    <t>Intensità dell'impatto</t>
  </si>
  <si>
    <t>Ten-
denza</t>
  </si>
  <si>
    <t>Economical influence factors</t>
  </si>
  <si>
    <t>Fattori d'influsso economico</t>
  </si>
  <si>
    <t>Sociological influence factors</t>
  </si>
  <si>
    <t>Fattori d'influsso sociologico</t>
  </si>
  <si>
    <t>Technological influence factors</t>
  </si>
  <si>
    <t>Fattori d'influsso tecnologico</t>
  </si>
  <si>
    <t>Ecological influence factors</t>
  </si>
  <si>
    <t>Fattori d'influsso ecologico</t>
  </si>
  <si>
    <t>Legal influence factors</t>
  </si>
  <si>
    <t>Fattori d'influsso legislativo</t>
  </si>
  <si>
    <t>Remarks</t>
  </si>
  <si>
    <t>Osservazioni</t>
  </si>
  <si>
    <t>Comments</t>
  </si>
  <si>
    <t>Competition</t>
  </si>
  <si>
    <t>Concorrenza</t>
  </si>
  <si>
    <t>Probability of occurrence</t>
  </si>
  <si>
    <t>Probabilità di accadimento</t>
  </si>
  <si>
    <t>elevata</t>
  </si>
  <si>
    <t>Medium</t>
  </si>
  <si>
    <t>media</t>
  </si>
  <si>
    <t>bassa</t>
  </si>
  <si>
    <t>Extent of damage</t>
  </si>
  <si>
    <t>Entità dei danni</t>
  </si>
  <si>
    <t>No need for action</t>
  </si>
  <si>
    <t>Nessun intervento necessario</t>
  </si>
  <si>
    <t>Need for action</t>
  </si>
  <si>
    <t>Intervento necessario</t>
  </si>
  <si>
    <t>Urgent need for action</t>
  </si>
  <si>
    <t>Intervento urgente</t>
  </si>
  <si>
    <t>Risk</t>
  </si>
  <si>
    <t>Rischio</t>
  </si>
  <si>
    <t>Extent of consequences</t>
  </si>
  <si>
    <t>Entità dell'impatto</t>
  </si>
  <si>
    <t>Compared objects</t>
  </si>
  <si>
    <t>Oggetti di paragone</t>
  </si>
  <si>
    <t>Strengths / Weaknesses -&gt; internal factors</t>
  </si>
  <si>
    <t>Punti di forza / debolezza -&gt; fattori interni</t>
  </si>
  <si>
    <t>Strengths / weaknesses</t>
  </si>
  <si>
    <t>Punti di forza / debolezza</t>
  </si>
  <si>
    <t>Opportunities / Threats</t>
  </si>
  <si>
    <t>Opportunità / Minacce</t>
  </si>
  <si>
    <t>Emphasis</t>
  </si>
  <si>
    <t>Ponderazione</t>
  </si>
  <si>
    <t>Opportunities / Threats -&gt; external factors</t>
  </si>
  <si>
    <t>Opportunità / Minacce -&gt; fattori esterni</t>
  </si>
  <si>
    <t>Strengths</t>
  </si>
  <si>
    <t>Punti di forza</t>
  </si>
  <si>
    <t>Weaknesses</t>
  </si>
  <si>
    <t>Punti di debolezza</t>
  </si>
  <si>
    <t>Opportunities</t>
  </si>
  <si>
    <t>Opportunità</t>
  </si>
  <si>
    <t>Threats</t>
  </si>
  <si>
    <t>Minacce</t>
  </si>
  <si>
    <t>Unique selling proposition (USP)</t>
  </si>
  <si>
    <t>Distribution channels</t>
  </si>
  <si>
    <t>Prodotti &amp; Servizi</t>
  </si>
  <si>
    <t>Show everything</t>
  </si>
  <si>
    <t>Filter print</t>
  </si>
  <si>
    <t>Links to documents</t>
  </si>
  <si>
    <t>I N P U T   M A S K</t>
  </si>
  <si>
    <t>Strategic indicators</t>
  </si>
  <si>
    <t>Actual</t>
  </si>
  <si>
    <t>Target</t>
  </si>
  <si>
    <t>achieved</t>
  </si>
  <si>
    <t>red</t>
  </si>
  <si>
    <t>yellow</t>
  </si>
  <si>
    <t>Indicators</t>
  </si>
  <si>
    <t>Link to project</t>
  </si>
  <si>
    <t>Start</t>
  </si>
  <si>
    <t>End</t>
  </si>
  <si>
    <t>Who?</t>
  </si>
  <si>
    <t>S T R A T E G I C   I N D I C A T O R S</t>
  </si>
  <si>
    <t>Calculation</t>
  </si>
  <si>
    <t>Description/Remarks</t>
  </si>
  <si>
    <t>Time of the survey &amp; Sector comparison</t>
  </si>
  <si>
    <t>I N D I C A T O R S   G O A L S</t>
  </si>
  <si>
    <t>Situation analysis</t>
  </si>
  <si>
    <t>Updated on:</t>
  </si>
  <si>
    <t>Risk management</t>
  </si>
  <si>
    <t>Implementing and controlling</t>
  </si>
  <si>
    <t>How do we achieve our goals?</t>
  </si>
  <si>
    <t>Instruments</t>
  </si>
  <si>
    <t>External</t>
  </si>
  <si>
    <t>ACTUAL state</t>
  </si>
  <si>
    <t>TARGET state</t>
  </si>
  <si>
    <t>Scenarios</t>
  </si>
  <si>
    <t>Potential</t>
  </si>
  <si>
    <t>Develop strategies</t>
  </si>
  <si>
    <t>Target groups</t>
  </si>
  <si>
    <t>How do we implement? How do we ensure success?</t>
  </si>
  <si>
    <t>Customer relationship</t>
  </si>
  <si>
    <t>Marketing Plan</t>
  </si>
  <si>
    <t>Value chain</t>
  </si>
  <si>
    <t>Sources of revenue</t>
  </si>
  <si>
    <t>Cost structure</t>
  </si>
  <si>
    <t>Measures-plan</t>
  </si>
  <si>
    <t xml:space="preserve">Gruppe 1 </t>
  </si>
  <si>
    <r>
      <rPr>
        <sz val="8"/>
        <color theme="1"/>
        <rFont val="Calibri"/>
        <family val="2"/>
        <scheme val="minor"/>
      </rPr>
      <t>©</t>
    </r>
    <r>
      <rPr>
        <b/>
        <sz val="8"/>
        <color rgb="FFFF0000"/>
        <rFont val="Bauhaus 93"/>
        <family val="5"/>
      </rPr>
      <t xml:space="preserve"> </t>
    </r>
    <r>
      <rPr>
        <sz val="8"/>
        <color rgb="FFFF0000"/>
        <rFont val="Bauhaus 93"/>
        <family val="5"/>
      </rPr>
      <t>i</t>
    </r>
    <r>
      <rPr>
        <sz val="8"/>
        <color theme="3" tint="-0.249977111117893"/>
        <rFont val="Bauhaus 93"/>
        <family val="5"/>
      </rPr>
      <t>Management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theme="1" tint="0.499984740745262"/>
        <rFont val="Calibri"/>
        <family val="2"/>
      </rPr>
      <t>•</t>
    </r>
    <r>
      <rPr>
        <sz val="8"/>
        <color theme="1" tint="0.499984740745262"/>
        <rFont val="Calibri"/>
        <family val="2"/>
        <scheme val="minor"/>
      </rPr>
      <t xml:space="preserve"> s.</t>
    </r>
    <r>
      <rPr>
        <sz val="8"/>
        <color rgb="FFFF0000"/>
        <rFont val="Bauhaus 93"/>
        <family val="5"/>
      </rPr>
      <t>i</t>
    </r>
    <r>
      <rPr>
        <sz val="8"/>
        <color theme="1" tint="0.499984740745262"/>
        <rFont val="Calibri"/>
        <family val="2"/>
        <scheme val="minor"/>
      </rPr>
      <t>mboden • www.2</t>
    </r>
    <r>
      <rPr>
        <b/>
        <sz val="8"/>
        <color theme="1" tint="0.499984740745262"/>
        <rFont val="Calibri"/>
        <family val="2"/>
        <scheme val="minor"/>
      </rPr>
      <t>i</t>
    </r>
    <r>
      <rPr>
        <sz val="8"/>
        <color theme="1" tint="0.499984740745262"/>
        <rFont val="Calibri"/>
        <family val="2"/>
        <scheme val="minor"/>
      </rPr>
      <t>Management.ch</t>
    </r>
  </si>
  <si>
    <r>
      <rPr>
        <sz val="8"/>
        <color theme="1"/>
        <rFont val="Calibri"/>
        <family val="2"/>
        <scheme val="minor"/>
      </rPr>
      <t>©</t>
    </r>
    <r>
      <rPr>
        <b/>
        <sz val="8"/>
        <color rgb="FFFF0000"/>
        <rFont val="Bauhaus 93"/>
        <family val="5"/>
      </rPr>
      <t xml:space="preserve"> </t>
    </r>
    <r>
      <rPr>
        <sz val="8"/>
        <color rgb="FFFF0000"/>
        <rFont val="Bauhaus 93"/>
        <family val="5"/>
      </rPr>
      <t>i</t>
    </r>
    <r>
      <rPr>
        <sz val="8"/>
        <color theme="3" tint="-0.249977111117893"/>
        <rFont val="Bauhaus 93"/>
        <family val="5"/>
      </rPr>
      <t xml:space="preserve">Management </t>
    </r>
    <r>
      <rPr>
        <sz val="8"/>
        <color theme="1" tint="0.499984740745262"/>
        <rFont val="Calibri"/>
        <family val="2"/>
        <scheme val="minor"/>
      </rPr>
      <t>• www.2</t>
    </r>
    <r>
      <rPr>
        <b/>
        <sz val="8"/>
        <color theme="1" tint="0.499984740745262"/>
        <rFont val="Calibri"/>
        <family val="2"/>
        <scheme val="minor"/>
      </rPr>
      <t>i</t>
    </r>
    <r>
      <rPr>
        <sz val="8"/>
        <color theme="1" tint="0.499984740745262"/>
        <rFont val="Calibri"/>
        <family val="2"/>
        <scheme val="minor"/>
      </rPr>
      <t>Management.ch</t>
    </r>
  </si>
  <si>
    <t>i1</t>
  </si>
  <si>
    <t>Prio</t>
  </si>
  <si>
    <t>Situationsanalyse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</si>
  <si>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</si>
  <si>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</si>
  <si>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</si>
  <si>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</si>
  <si>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</si>
  <si>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</si>
  <si>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</si>
  <si>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</si>
  <si>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</si>
  <si>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</si>
  <si>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</si>
  <si>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</si>
  <si>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</si>
  <si>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</si>
  <si>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</si>
  <si>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</si>
  <si>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</si>
  <si>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</si>
  <si>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</si>
  <si>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</si>
  <si>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</si>
  <si>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</si>
  <si>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</si>
  <si>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</si>
  <si>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</si>
  <si>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</si>
  <si>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</si>
  <si>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</si>
  <si>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</si>
  <si>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</si>
  <si>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</si>
  <si>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</si>
  <si>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</si>
  <si>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</si>
  <si>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</si>
  <si>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</si>
  <si>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</si>
  <si>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</si>
  <si>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</si>
  <si>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Interesse der Stakeholder</t>
  </si>
  <si>
    <t>Advertisement</t>
  </si>
  <si>
    <t>Sales promotion</t>
  </si>
  <si>
    <t>Personal selling</t>
  </si>
  <si>
    <t>Social media</t>
  </si>
  <si>
    <t>Direct marketing</t>
  </si>
  <si>
    <t>Public relations</t>
  </si>
  <si>
    <t>Diverse</t>
  </si>
  <si>
    <t>Marketing-plan</t>
  </si>
  <si>
    <t>Einnahme-quellen</t>
  </si>
  <si>
    <t>Kosten-struktur</t>
  </si>
  <si>
    <t>≥ 1</t>
  </si>
  <si>
    <t>Differenz:</t>
  </si>
  <si>
    <t>différence:</t>
  </si>
  <si>
    <t>difference:</t>
  </si>
  <si>
    <t>differenza:</t>
  </si>
  <si>
    <t>= 0</t>
  </si>
  <si>
    <t>≤ 1</t>
  </si>
  <si>
    <t>Description</t>
  </si>
  <si>
    <t>Beschreibung</t>
  </si>
  <si>
    <t>Abweichung</t>
  </si>
  <si>
    <t>letzte Spalte</t>
  </si>
  <si>
    <t>vorletzte</t>
  </si>
  <si>
    <t>in%</t>
  </si>
  <si>
    <t>difference</t>
  </si>
  <si>
    <t>écart</t>
  </si>
  <si>
    <t>TOTAL  BUDGET</t>
  </si>
  <si>
    <t>TOTALE  BUDGET</t>
  </si>
  <si>
    <t>Eintretenswahr-scheinlichkeit</t>
  </si>
  <si>
    <t>1. Stakeholder</t>
  </si>
  <si>
    <t>2. PESTEL</t>
  </si>
  <si>
    <t>3. SWOT</t>
  </si>
  <si>
    <t>Kommunikationsziele</t>
  </si>
  <si>
    <t>Objectifs Communication</t>
  </si>
  <si>
    <t>Communication goals</t>
  </si>
  <si>
    <t>K  O M M U N I K A T I O N   C O C K P I T</t>
  </si>
  <si>
    <t>Z I E L G R U P P E</t>
  </si>
  <si>
    <t>G R O U P E   C I B L E</t>
  </si>
  <si>
    <t>T A R G E T   G R O U P</t>
  </si>
  <si>
    <t>T A R G E T</t>
  </si>
  <si>
    <t>Zielgruppe</t>
  </si>
  <si>
    <t>Groupe cible</t>
  </si>
  <si>
    <t>Target group</t>
  </si>
  <si>
    <t>Grösse</t>
  </si>
  <si>
    <t>Size</t>
  </si>
  <si>
    <t>Taille</t>
  </si>
  <si>
    <t>Taglia</t>
  </si>
  <si>
    <t>Hauptbotschaft</t>
  </si>
  <si>
    <t>Message clé</t>
  </si>
  <si>
    <t>Key message</t>
  </si>
  <si>
    <t>Zielgruppe 1</t>
  </si>
  <si>
    <t>Zielgruppe 2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</si>
  <si>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</si>
  <si>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</si>
  <si>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</si>
  <si>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</si>
  <si>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</si>
  <si>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</si>
  <si>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</si>
  <si>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</si>
  <si>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</si>
  <si>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</si>
  <si>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</si>
  <si>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</si>
  <si>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</si>
  <si>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</si>
  <si>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</si>
  <si>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</si>
  <si>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</si>
  <si>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</si>
  <si>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</si>
  <si>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</si>
  <si>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Kom. Bedarf</t>
  </si>
  <si>
    <t>Kommunikationsbedarf</t>
  </si>
  <si>
    <t>Kommunikationsintensität</t>
  </si>
  <si>
    <t>Kom. Intensität</t>
  </si>
  <si>
    <t>Intensité de la communication</t>
  </si>
  <si>
    <t>Besoins en communication</t>
  </si>
  <si>
    <t>Ziele</t>
  </si>
  <si>
    <t>Objectifs</t>
  </si>
  <si>
    <t>Objectives</t>
  </si>
  <si>
    <t>K O M M U N I K A T I O N S K A N Ä L E</t>
  </si>
  <si>
    <t>C A N A U X   D E   C O M M U N I C A T I O N</t>
  </si>
  <si>
    <t>C O M M U N I C A T I O N   C H A N N E L S</t>
  </si>
  <si>
    <t>C A N A L I   D I   C O M U N I C A Z I O N</t>
  </si>
  <si>
    <t>Kommunikationskanal</t>
  </si>
  <si>
    <t>Canal de communication</t>
  </si>
  <si>
    <t>Communication channel</t>
  </si>
  <si>
    <t>Intern</t>
  </si>
  <si>
    <t>Interne</t>
  </si>
  <si>
    <t>Extern</t>
  </si>
  <si>
    <t>Externe</t>
  </si>
  <si>
    <t>Social Media</t>
  </si>
  <si>
    <t>In %</t>
  </si>
  <si>
    <t>Qui ?</t>
  </si>
  <si>
    <t>Wann?</t>
  </si>
  <si>
    <t>Quand ?</t>
  </si>
  <si>
    <t>When ?</t>
  </si>
  <si>
    <t>Prioriät</t>
  </si>
  <si>
    <t>Priorité</t>
  </si>
  <si>
    <t>Priority</t>
  </si>
  <si>
    <t>Massnahme</t>
  </si>
  <si>
    <t>Mesure</t>
  </si>
  <si>
    <t>C O M M U N I C A T I O N   M E A S U R E S</t>
  </si>
  <si>
    <t>Measure</t>
  </si>
  <si>
    <t>K O M M U N I K A T I O N   B U D G E T</t>
  </si>
  <si>
    <t>C O M M U N I C A T I O N    B U D G E T</t>
  </si>
  <si>
    <t>C O M U N I C A Z I O N E   B U D G E T</t>
  </si>
  <si>
    <t>Flyer</t>
  </si>
  <si>
    <t>V1.0.0</t>
  </si>
  <si>
    <t>Kanäle</t>
  </si>
  <si>
    <t>Canaux</t>
  </si>
  <si>
    <t>Channels</t>
  </si>
  <si>
    <t>8. Massnahmen</t>
  </si>
  <si>
    <t>8. Mesures</t>
  </si>
  <si>
    <t>8. Measures</t>
  </si>
  <si>
    <t>9. Budget</t>
  </si>
  <si>
    <t>C O M M U N I C A T I O N    C O N T R O L L I N G</t>
  </si>
  <si>
    <t>10. Controlling</t>
  </si>
  <si>
    <t>C O M M U N I C A T I O N   B U D G E T</t>
  </si>
  <si>
    <t>Effets attendus</t>
  </si>
  <si>
    <t>Erwartete Effekte</t>
  </si>
  <si>
    <t>Itensité com.</t>
  </si>
  <si>
    <t>Intensity of com.</t>
  </si>
  <si>
    <t>Besoins en com.</t>
  </si>
  <si>
    <t>Needs for communication</t>
  </si>
  <si>
    <t>Demand on com.</t>
  </si>
  <si>
    <t>Expected effects</t>
  </si>
  <si>
    <t>K O M M U N I K A T I O N S M A S S N A H M E N</t>
  </si>
  <si>
    <t>M E S U R E S    D E   C O M M U N I C A T I O N</t>
  </si>
  <si>
    <t>Massnahmen</t>
  </si>
  <si>
    <t>Mesures</t>
  </si>
  <si>
    <t>Measures</t>
  </si>
  <si>
    <t>Mesure 1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</si>
  <si>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</si>
  <si>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</si>
  <si>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</si>
  <si>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</si>
  <si>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</si>
  <si>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</si>
  <si>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</si>
  <si>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</si>
  <si>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</si>
  <si>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</si>
  <si>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</si>
  <si>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</si>
  <si>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</si>
  <si>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</si>
  <si>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</si>
  <si>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</si>
  <si>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</si>
  <si>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</si>
  <si>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</si>
  <si>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</si>
  <si>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</si>
  <si>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</si>
  <si>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</si>
  <si>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</si>
  <si>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</si>
  <si>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</si>
  <si>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</si>
  <si>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</si>
  <si>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</si>
  <si>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</si>
  <si>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</si>
  <si>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</si>
  <si>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</si>
  <si>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</si>
  <si>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</si>
  <si>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</si>
  <si>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</si>
  <si>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</si>
  <si>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</si>
  <si>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</si>
  <si>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</si>
  <si>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</si>
  <si>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</si>
  <si>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</si>
  <si>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</si>
  <si>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</si>
  <si>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</si>
  <si>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</si>
  <si>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</si>
  <si>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</si>
  <si>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</si>
  <si>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</si>
  <si>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</si>
  <si>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</si>
  <si>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</si>
  <si>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</si>
  <si>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</si>
  <si>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</si>
  <si>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</si>
  <si>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</si>
  <si>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</si>
  <si>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</si>
  <si>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</si>
  <si>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</si>
  <si>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</si>
  <si>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</si>
  <si>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</si>
  <si>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</si>
  <si>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</si>
  <si>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</si>
  <si>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</si>
  <si>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</si>
  <si>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</si>
  <si>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</si>
  <si>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</si>
  <si>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</si>
  <si>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</si>
  <si>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</si>
  <si>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</si>
  <si>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</si>
  <si>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Z I E L E  &amp;  M A S S N A H M E N   K O M M U N I K A T I O N</t>
  </si>
  <si>
    <t xml:space="preserve">O B J E C T I F S  &amp;  M E S U R E S    C O M M U N I C A T I O N </t>
  </si>
  <si>
    <t>G O A LS  &amp;  M E A S U R E S   C O M M U N I C A T I O N</t>
  </si>
  <si>
    <t>Copier flèche: ctrl et bouton gauche de la souris</t>
  </si>
  <si>
    <t>Copy arrow: ctrl and left mouse button</t>
  </si>
  <si>
    <t>Copia freccia: ctrl e tasto sinistro del mouse</t>
  </si>
  <si>
    <t>S W O T - A N A L Y S E   K O M M U N I K A T I O N</t>
  </si>
  <si>
    <t>A N A L Y S E   S W O T   C O M M U N I C A T I O N</t>
  </si>
  <si>
    <t>S W O T   A N A L Y S I S   C O M M U N I C A T I O N</t>
  </si>
  <si>
    <t>A N A L I S I   S W O T   C O M M U N I C A Z I O N E</t>
  </si>
  <si>
    <t>B E N C H M A R K I N G   C O M M U N I C A T I O N</t>
  </si>
  <si>
    <t xml:space="preserve">B E N C H M A R K I N G   C O M M U N I C A T I O N  </t>
  </si>
  <si>
    <t>B E N C H M A R K I N G   C O M M U N I C A Z I O N E</t>
  </si>
  <si>
    <t>B E N C H M A R K I N G   K O M M U N I K A T I O N</t>
  </si>
  <si>
    <t>Zielpublikum 1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</si>
  <si>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</si>
  <si>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</si>
  <si>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</si>
  <si>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</si>
  <si>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</si>
  <si>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</si>
  <si>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</si>
  <si>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</si>
  <si>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</si>
  <si>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</si>
  <si>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</si>
  <si>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</si>
  <si>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</si>
  <si>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</si>
  <si>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</si>
  <si>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</si>
  <si>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</si>
  <si>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</si>
  <si>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</si>
  <si>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</si>
  <si>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</si>
  <si>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</si>
  <si>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</si>
  <si>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</si>
  <si>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</si>
  <si>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</si>
  <si>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</si>
  <si>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</si>
  <si>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</si>
  <si>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</si>
  <si>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</si>
  <si>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</si>
  <si>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</si>
  <si>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</si>
  <si>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</si>
  <si>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</si>
  <si>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</si>
  <si>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</si>
  <si>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</si>
  <si>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</si>
  <si>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z41</t>
  </si>
  <si>
    <t>z42</t>
  </si>
  <si>
    <t>z43</t>
  </si>
  <si>
    <t>z44</t>
  </si>
  <si>
    <t>z45</t>
  </si>
  <si>
    <t>z46</t>
  </si>
  <si>
    <t>z47</t>
  </si>
  <si>
    <t>z48</t>
  </si>
  <si>
    <t>z49</t>
  </si>
  <si>
    <t>z50</t>
  </si>
  <si>
    <t>z51</t>
  </si>
  <si>
    <t>z52</t>
  </si>
  <si>
    <t>z53</t>
  </si>
  <si>
    <t>z54</t>
  </si>
  <si>
    <t>z55</t>
  </si>
  <si>
    <t>z56</t>
  </si>
  <si>
    <t>z57</t>
  </si>
  <si>
    <t>z58</t>
  </si>
  <si>
    <t>z59</t>
  </si>
  <si>
    <t>z60</t>
  </si>
  <si>
    <t>z61</t>
  </si>
  <si>
    <t>z62</t>
  </si>
  <si>
    <t>z63</t>
  </si>
  <si>
    <t>z64</t>
  </si>
  <si>
    <t>z65</t>
  </si>
  <si>
    <t>z66</t>
  </si>
  <si>
    <t>z67</t>
  </si>
  <si>
    <t>z68</t>
  </si>
  <si>
    <t>z69</t>
  </si>
  <si>
    <t>z70</t>
  </si>
  <si>
    <t>z71</t>
  </si>
  <si>
    <t>z72</t>
  </si>
  <si>
    <t>z73</t>
  </si>
  <si>
    <t>z74</t>
  </si>
  <si>
    <t>z75</t>
  </si>
  <si>
    <t>z76</t>
  </si>
  <si>
    <t>z77</t>
  </si>
  <si>
    <t>z78</t>
  </si>
  <si>
    <t>z79</t>
  </si>
  <si>
    <t>z80</t>
  </si>
  <si>
    <t>Ziele &amp; Massnahmen</t>
  </si>
  <si>
    <t>Objectifs &amp; Mesures</t>
  </si>
  <si>
    <t>Objectives &amp; Measures</t>
  </si>
  <si>
    <t>5. Ziele</t>
  </si>
  <si>
    <t>6. Zielgruppe</t>
  </si>
  <si>
    <t>7. Risiken</t>
  </si>
  <si>
    <t>5. Objectifs</t>
  </si>
  <si>
    <t>6. Groupe cible</t>
  </si>
  <si>
    <t>7. Risques</t>
  </si>
  <si>
    <t>5. Objectives</t>
  </si>
  <si>
    <t>6. Target group</t>
  </si>
  <si>
    <t>7. Risks</t>
  </si>
  <si>
    <t>Möchten Sie das Programm "Cockpit" öffnen?</t>
  </si>
  <si>
    <t>Voulez-vous ouvrir le programme "Tableau de bord"?</t>
  </si>
  <si>
    <t>Would you like to open the program "Management Cockpit"?</t>
  </si>
  <si>
    <t>Volete aprire il programma "Cockpit de gestione"?</t>
  </si>
  <si>
    <t>Stellen Sie sicher, dass die Datei "01_Cockpit.xlsm" im selben Verzeichnis abgelegt ist!</t>
  </si>
  <si>
    <t>Assurez-vous, que le fichier "01_Cockpit.xlsm" se touve dans le même répertoire!</t>
  </si>
  <si>
    <t>Please make sure that the file "01_Cockpit.xlsm" is in the same folder!</t>
  </si>
  <si>
    <t>Assicurarsi che il file  "01_Cockpit.xlsm" si trova nel stesso direttorio!</t>
  </si>
  <si>
    <t>R I S I K E N   K O M M U N I K A T I O N</t>
  </si>
  <si>
    <t>R I S Q U E S   C O M M U N I C A T I O N</t>
  </si>
  <si>
    <t>R I S K S   C O M M U N I C A T I O N</t>
  </si>
  <si>
    <t>R I S C H I    C O M M U N I C A Z I O N E</t>
  </si>
  <si>
    <t>Beziehungsebene</t>
  </si>
  <si>
    <t>Niveau relationnel</t>
  </si>
  <si>
    <t>Appell</t>
  </si>
  <si>
    <t>Appel</t>
  </si>
  <si>
    <t>Sachebene</t>
  </si>
  <si>
    <t>Niveau factuel</t>
  </si>
  <si>
    <t>Selbstoffenbarung</t>
  </si>
  <si>
    <t>Autorévélation</t>
  </si>
  <si>
    <t>Äusserung</t>
  </si>
  <si>
    <t>Déclaration</t>
  </si>
  <si>
    <t>Verschlüsselung</t>
  </si>
  <si>
    <t>Cryptage</t>
  </si>
  <si>
    <t>Entschlüsselung</t>
  </si>
  <si>
    <t>Décryptage</t>
  </si>
  <si>
    <t>Sender</t>
  </si>
  <si>
    <t>Émetteur</t>
  </si>
  <si>
    <t>Empfänger</t>
  </si>
  <si>
    <t>Récepteur</t>
  </si>
  <si>
    <t>Gespräch</t>
  </si>
  <si>
    <t>Entretien</t>
  </si>
  <si>
    <t>Kommunikationsquadrat</t>
  </si>
  <si>
    <t>Carré de communication</t>
  </si>
  <si>
    <t>Kommunikationsprozess</t>
  </si>
  <si>
    <t>Processus de communication</t>
  </si>
  <si>
    <t>Wirkung</t>
  </si>
  <si>
    <t>Effets</t>
  </si>
  <si>
    <t>Rückmeldung
(Feedback)</t>
  </si>
  <si>
    <t>Retour
(Feedback)</t>
  </si>
  <si>
    <t>Störsignale</t>
  </si>
  <si>
    <t>signal brouilleur</t>
  </si>
  <si>
    <t>verbal
nonverbal</t>
  </si>
  <si>
    <t>verbale
nonverbale</t>
  </si>
  <si>
    <t>4. Vision</t>
  </si>
  <si>
    <t>Ihr Logo:</t>
  </si>
  <si>
    <t>Votre logo:</t>
  </si>
  <si>
    <t>Your logo:</t>
  </si>
  <si>
    <t>Vostro logo: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</si>
</sst>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_ &quot;fr.&quot;\ * #,##0.00_ ;_ &quot;fr.&quot;\ * \-#,##0.00_ ;_ &quot;fr.&quot;\ * &quot;-&quot;??_ ;_ @_ "/>
    <numFmt numFmtId="165" formatCode="_-* #,##0.00\ [$€-1]_-;\-* #,##0.00\ [$€-1]_-;_-* &quot;-&quot;??\ [$€-1]_-"/>
    <numFmt numFmtId="166" formatCode="_-* #,##0.00\ &quot;DM&quot;_-;\-* #,##0.00\ &quot;DM&quot;_-;_-* &quot;-&quot;??\ &quot;DM&quot;_-;_-@_-"/>
    <numFmt numFmtId="167" formatCode="_ [$Fr.-807]\ * #,##0_ ;_ [$Fr.-807]\ * \-#,##0_ ;_ [$Fr.-807]\ * &quot;-&quot;_ ;_ @_ "/>
    <numFmt numFmtId="168" formatCode=";;;"/>
  </numFmts>
  <fonts count="10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7.7"/>
      <color theme="10"/>
      <name val="Calibri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2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3"/>
      <name val="Calibri"/>
      <family val="2"/>
      <scheme val="minor"/>
    </font>
    <font>
      <sz val="24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2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rgb="FF005581"/>
      <name val="Arial"/>
      <family val="2"/>
    </font>
    <font>
      <u/>
      <sz val="12"/>
      <color theme="10"/>
      <name val="Calibri"/>
      <family val="2"/>
    </font>
    <font>
      <sz val="9"/>
      <color theme="1"/>
      <name val="Arial"/>
      <family val="2"/>
    </font>
    <font>
      <sz val="8"/>
      <color theme="3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3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4"/>
      <color theme="3" tint="-0.249977111117893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sz val="10"/>
      <color theme="3"/>
      <name val="Wingdings"/>
      <charset val="2"/>
    </font>
    <font>
      <b/>
      <sz val="11"/>
      <color theme="5" tint="-0.249977111117893"/>
      <name val="Calibri"/>
      <family val="2"/>
      <scheme val="minor"/>
    </font>
    <font>
      <sz val="9"/>
      <color theme="0"/>
      <name val="Arial"/>
      <family val="2"/>
    </font>
    <font>
      <u/>
      <sz val="7.7"/>
      <color theme="0"/>
      <name val="Calibri"/>
      <family val="2"/>
    </font>
    <font>
      <sz val="4"/>
      <color theme="1"/>
      <name val="Calibri"/>
      <family val="2"/>
      <scheme val="minor"/>
    </font>
    <font>
      <sz val="4"/>
      <color theme="0"/>
      <name val="Calibri"/>
      <family val="2"/>
      <scheme val="minor"/>
    </font>
    <font>
      <u/>
      <sz val="10"/>
      <color indexed="12"/>
      <name val="Verdana"/>
      <family val="2"/>
    </font>
    <font>
      <sz val="10"/>
      <name val="Verdana"/>
      <family val="2"/>
    </font>
    <font>
      <sz val="4"/>
      <color theme="6" tint="0.3999755851924192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8"/>
      <color theme="0" tint="-0.499984740745262"/>
      <name val="Calibri"/>
      <family val="2"/>
      <scheme val="minor"/>
    </font>
    <font>
      <sz val="11"/>
      <name val="Calibri"/>
      <family val="2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b/>
      <sz val="12"/>
      <color theme="5" tint="0.39997558519241921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sz val="16"/>
      <color theme="4" tint="0.39997558519241921"/>
      <name val="Calibri"/>
      <family val="2"/>
      <scheme val="minor"/>
    </font>
    <font>
      <sz val="16"/>
      <color theme="9" tint="0.39997558519241921"/>
      <name val="Calibri"/>
      <family val="2"/>
      <scheme val="minor"/>
    </font>
    <font>
      <sz val="16"/>
      <color theme="5" tint="0.39997558519241921"/>
      <name val="Calibri"/>
      <family val="2"/>
      <scheme val="minor"/>
    </font>
    <font>
      <sz val="16"/>
      <color theme="7" tint="0.3999755851924192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rgb="FF000000"/>
      <name val="Verdana"/>
      <family val="2"/>
    </font>
    <font>
      <b/>
      <sz val="9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9"/>
      <color rgb="FF3B5998"/>
      <name val="Arial"/>
      <family val="2"/>
    </font>
    <font>
      <sz val="10"/>
      <color theme="6" tint="0.79998168889431442"/>
      <name val="Calibri"/>
      <family val="2"/>
      <scheme val="minor"/>
    </font>
    <font>
      <sz val="10"/>
      <name val="Calibri"/>
      <family val="2"/>
    </font>
    <font>
      <b/>
      <sz val="14"/>
      <color theme="1"/>
      <name val="Calibri"/>
      <family val="2"/>
      <scheme val="minor"/>
    </font>
    <font>
      <sz val="8"/>
      <color theme="1"/>
      <name val="Bauhaus 93"/>
      <family val="5"/>
    </font>
    <font>
      <b/>
      <sz val="8"/>
      <color rgb="FFFF0000"/>
      <name val="Bauhaus 93"/>
      <family val="5"/>
    </font>
    <font>
      <sz val="24"/>
      <name val="Calibri"/>
      <family val="2"/>
      <scheme val="minor"/>
    </font>
    <font>
      <sz val="8"/>
      <color rgb="FFFF0000"/>
      <name val="Bauhaus 93"/>
      <family val="5"/>
    </font>
    <font>
      <sz val="8"/>
      <color theme="3" tint="-0.249977111117893"/>
      <name val="Bauhaus 93"/>
      <family val="5"/>
    </font>
    <font>
      <sz val="8"/>
      <color theme="1" tint="0.499984740745262"/>
      <name val="Calibri"/>
      <family val="2"/>
    </font>
    <font>
      <sz val="8"/>
      <color theme="1" tint="0.499984740745262"/>
      <name val="Calibri"/>
      <family val="2"/>
      <scheme val="minor"/>
    </font>
    <font>
      <b/>
      <sz val="8"/>
      <color theme="1" tint="0.499984740745262"/>
      <name val="Calibri"/>
      <family val="2"/>
      <scheme val="minor"/>
    </font>
    <font>
      <sz val="9"/>
      <color theme="0"/>
      <name val="Calibri"/>
      <family val="2"/>
      <scheme val="minor"/>
    </font>
    <font>
      <sz val="14"/>
      <color theme="1" tint="0.499984740745262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color theme="1"/>
      <name val="Calibri"/>
      <family val="2"/>
    </font>
    <font>
      <sz val="12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sz val="10"/>
      <color theme="0"/>
      <name val="Arial"/>
      <family val="2"/>
    </font>
    <font>
      <b/>
      <sz val="12"/>
      <color theme="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rgb="FFC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Arial"/>
      <family val="2"/>
    </font>
    <font>
      <sz val="11"/>
      <color rgb="FF000000"/>
      <name val="Arial"/>
      <family val="2"/>
    </font>
    <font>
      <sz val="10"/>
      <color rgb="FFFF0000"/>
      <name val="Calibri"/>
      <family val="2"/>
      <scheme val="minor"/>
    </font>
    <font>
      <sz val="24"/>
      <color theme="3"/>
      <name val="Calibri Light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7" tint="0.39994506668294322"/>
      </right>
      <top/>
      <bottom/>
      <diagonal/>
    </border>
    <border>
      <left/>
      <right style="thin">
        <color theme="4" tint="0.39994506668294322"/>
      </right>
      <top/>
      <bottom/>
      <diagonal/>
    </border>
    <border>
      <left/>
      <right/>
      <top style="thin">
        <color theme="3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6" fillId="0" borderId="0"/>
    <xf numFmtId="0" fontId="20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1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/>
    <xf numFmtId="165" fontId="47" fillId="0" borderId="0" applyFont="0" applyFill="0" applyBorder="0" applyAlignment="0" applyProtection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709">
    <xf numFmtId="0" fontId="0" fillId="0" borderId="0" xfId="0"/>
    <xf numFmtId="0" fontId="7" fillId="0" borderId="0" xfId="0" applyFont="1"/>
    <xf numFmtId="0" fontId="7" fillId="0" borderId="0" xfId="0" applyFont="1" applyProtection="1">
      <protection hidden="1"/>
    </xf>
    <xf numFmtId="0" fontId="8" fillId="0" borderId="0" xfId="0" applyFont="1" applyAlignment="1" applyProtection="1">
      <alignment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 applyProtection="1">
      <alignment vertical="center"/>
      <protection hidden="1"/>
    </xf>
    <xf numFmtId="0" fontId="12" fillId="0" borderId="0" xfId="0" applyFont="1" applyAlignment="1">
      <alignment horizontal="center" vertical="top" textRotation="90" shrinkToFit="1"/>
    </xf>
    <xf numFmtId="0" fontId="12" fillId="0" borderId="0" xfId="0" applyFont="1" applyAlignment="1">
      <alignment vertical="top" textRotation="90" shrinkToFit="1"/>
    </xf>
    <xf numFmtId="0" fontId="0" fillId="0" borderId="0" xfId="0" applyAlignment="1">
      <alignment vertical="top"/>
    </xf>
    <xf numFmtId="0" fontId="0" fillId="8" borderId="0" xfId="0" applyFill="1"/>
    <xf numFmtId="0" fontId="26" fillId="0" borderId="0" xfId="1" applyFont="1" applyAlignment="1" applyProtection="1"/>
    <xf numFmtId="0" fontId="11" fillId="0" borderId="0" xfId="0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0" fillId="0" borderId="0" xfId="0" applyAlignment="1">
      <alignment wrapText="1"/>
    </xf>
    <xf numFmtId="0" fontId="27" fillId="0" borderId="0" xfId="0" applyFont="1"/>
    <xf numFmtId="0" fontId="31" fillId="0" borderId="1" xfId="0" applyFont="1" applyBorder="1" applyAlignment="1" applyProtection="1">
      <alignment vertical="center"/>
      <protection hidden="1"/>
    </xf>
    <xf numFmtId="0" fontId="31" fillId="0" borderId="1" xfId="0" applyFont="1" applyBorder="1" applyAlignment="1">
      <alignment vertical="center"/>
    </xf>
    <xf numFmtId="0" fontId="0" fillId="0" borderId="0" xfId="0" applyProtection="1">
      <protection locked="0" hidden="1"/>
    </xf>
    <xf numFmtId="0" fontId="31" fillId="0" borderId="0" xfId="0" applyFont="1" applyAlignment="1" applyProtection="1">
      <alignment vertical="center"/>
      <protection hidden="1"/>
    </xf>
    <xf numFmtId="0" fontId="0" fillId="8" borderId="0" xfId="0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34" fillId="8" borderId="0" xfId="0" applyFont="1" applyFill="1"/>
    <xf numFmtId="0" fontId="25" fillId="0" borderId="0" xfId="0" applyFont="1"/>
    <xf numFmtId="0" fontId="0" fillId="8" borderId="0" xfId="0" applyFill="1" applyAlignment="1" applyProtection="1">
      <alignment horizontal="right"/>
      <protection hidden="1"/>
    </xf>
    <xf numFmtId="0" fontId="14" fillId="0" borderId="0" xfId="0" applyFont="1" applyAlignment="1" applyProtection="1">
      <alignment vertical="top" wrapText="1"/>
      <protection hidden="1"/>
    </xf>
    <xf numFmtId="49" fontId="7" fillId="0" borderId="0" xfId="0" applyNumberFormat="1" applyFont="1" applyAlignment="1" applyProtection="1">
      <alignment horizontal="left" vertical="top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1" fontId="9" fillId="0" borderId="0" xfId="0" applyNumberFormat="1" applyFont="1" applyAlignment="1" applyProtection="1">
      <alignment horizontal="center" vertical="center" wrapText="1"/>
      <protection hidden="1"/>
    </xf>
    <xf numFmtId="1" fontId="7" fillId="0" borderId="0" xfId="0" applyNumberFormat="1" applyFont="1" applyAlignment="1" applyProtection="1">
      <alignment horizontal="center" vertical="center" wrapText="1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25" fillId="0" borderId="0" xfId="0" applyFont="1" applyProtection="1">
      <protection hidden="1"/>
    </xf>
    <xf numFmtId="0" fontId="27" fillId="0" borderId="0" xfId="0" applyFont="1" applyProtection="1">
      <protection hidden="1"/>
    </xf>
    <xf numFmtId="0" fontId="17" fillId="8" borderId="0" xfId="0" applyFont="1" applyFill="1" applyProtection="1">
      <protection hidden="1"/>
    </xf>
    <xf numFmtId="0" fontId="7" fillId="0" borderId="0" xfId="0" applyFont="1" applyAlignment="1" applyProtection="1">
      <alignment horizontal="center" vertical="top"/>
      <protection hidden="1"/>
    </xf>
    <xf numFmtId="0" fontId="17" fillId="8" borderId="0" xfId="0" applyFont="1" applyFill="1" applyAlignment="1" applyProtection="1">
      <alignment horizontal="left"/>
      <protection hidden="1"/>
    </xf>
    <xf numFmtId="0" fontId="38" fillId="8" borderId="0" xfId="0" applyFont="1" applyFill="1" applyAlignment="1" applyProtection="1">
      <alignment horizontal="right" textRotation="90"/>
      <protection hidden="1"/>
    </xf>
    <xf numFmtId="0" fontId="36" fillId="8" borderId="0" xfId="0" applyFont="1" applyFill="1" applyAlignment="1" applyProtection="1">
      <alignment horizontal="right" textRotation="90"/>
      <protection hidden="1"/>
    </xf>
    <xf numFmtId="0" fontId="39" fillId="8" borderId="0" xfId="0" applyFont="1" applyFill="1" applyAlignment="1" applyProtection="1">
      <alignment horizontal="right" vertical="center"/>
      <protection hidden="1"/>
    </xf>
    <xf numFmtId="0" fontId="40" fillId="8" borderId="0" xfId="0" applyFont="1" applyFill="1" applyAlignment="1" applyProtection="1">
      <alignment horizontal="right" vertical="center"/>
      <protection hidden="1"/>
    </xf>
    <xf numFmtId="0" fontId="30" fillId="0" borderId="0" xfId="0" applyFont="1"/>
    <xf numFmtId="0" fontId="43" fillId="0" borderId="0" xfId="1" applyFont="1" applyAlignment="1" applyProtection="1">
      <protection hidden="1"/>
    </xf>
    <xf numFmtId="0" fontId="35" fillId="0" borderId="0" xfId="0" applyFont="1" applyAlignment="1">
      <alignment vertical="top"/>
    </xf>
    <xf numFmtId="0" fontId="49" fillId="0" borderId="0" xfId="0" applyFont="1" applyProtection="1">
      <protection hidden="1"/>
    </xf>
    <xf numFmtId="1" fontId="0" fillId="8" borderId="0" xfId="0" applyNumberFormat="1" applyFill="1"/>
    <xf numFmtId="1" fontId="27" fillId="0" borderId="0" xfId="0" applyNumberFormat="1" applyFont="1"/>
    <xf numFmtId="0" fontId="13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0" fontId="0" fillId="0" borderId="3" xfId="10" applyFont="1" applyBorder="1" applyAlignment="1" applyProtection="1">
      <alignment horizontal="left" vertical="top" wrapText="1"/>
      <protection locked="0"/>
    </xf>
    <xf numFmtId="0" fontId="1" fillId="0" borderId="3" xfId="10" applyBorder="1" applyAlignment="1" applyProtection="1">
      <alignment horizontal="left" vertical="top" wrapText="1"/>
      <protection locked="0"/>
    </xf>
    <xf numFmtId="0" fontId="30" fillId="0" borderId="0" xfId="0" applyFont="1" applyProtection="1">
      <protection hidden="1"/>
    </xf>
    <xf numFmtId="0" fontId="29" fillId="8" borderId="0" xfId="0" applyFont="1" applyFill="1" applyProtection="1">
      <protection hidden="1"/>
    </xf>
    <xf numFmtId="0" fontId="31" fillId="0" borderId="0" xfId="0" applyFont="1" applyAlignment="1" applyProtection="1">
      <alignment vertical="center"/>
      <protection locked="0" hidden="1"/>
    </xf>
    <xf numFmtId="0" fontId="11" fillId="0" borderId="0" xfId="0" applyFont="1" applyAlignment="1" applyProtection="1">
      <alignment vertical="center"/>
      <protection locked="0" hidden="1"/>
    </xf>
    <xf numFmtId="0" fontId="7" fillId="0" borderId="0" xfId="0" applyFont="1" applyProtection="1">
      <protection locked="0" hidden="1"/>
    </xf>
    <xf numFmtId="0" fontId="28" fillId="8" borderId="0" xfId="0" applyFont="1" applyFill="1" applyAlignment="1" applyProtection="1">
      <alignment vertical="center"/>
      <protection locked="0" hidden="1"/>
    </xf>
    <xf numFmtId="0" fontId="32" fillId="0" borderId="0" xfId="0" applyFont="1" applyAlignment="1" applyProtection="1">
      <alignment vertical="center"/>
      <protection hidden="1"/>
    </xf>
    <xf numFmtId="0" fontId="12" fillId="0" borderId="0" xfId="0" applyFont="1" applyAlignment="1" applyProtection="1">
      <alignment vertical="top"/>
      <protection hidden="1"/>
    </xf>
    <xf numFmtId="0" fontId="12" fillId="0" borderId="0" xfId="0" applyFont="1" applyAlignment="1" applyProtection="1">
      <alignment horizontal="center" vertical="top"/>
      <protection hidden="1"/>
    </xf>
    <xf numFmtId="0" fontId="2" fillId="0" borderId="0" xfId="0" applyFont="1"/>
    <xf numFmtId="0" fontId="59" fillId="0" borderId="0" xfId="0" applyFont="1" applyAlignment="1">
      <alignment horizontal="center" textRotation="90"/>
    </xf>
    <xf numFmtId="0" fontId="60" fillId="0" borderId="0" xfId="0" applyFont="1" applyAlignment="1">
      <alignment horizontal="center" textRotation="90"/>
    </xf>
    <xf numFmtId="0" fontId="61" fillId="0" borderId="0" xfId="0" applyFont="1" applyAlignment="1">
      <alignment horizontal="center" vertical="top"/>
    </xf>
    <xf numFmtId="0" fontId="58" fillId="0" borderId="0" xfId="0" applyFont="1" applyAlignment="1">
      <alignment textRotation="90"/>
    </xf>
    <xf numFmtId="0" fontId="62" fillId="0" borderId="0" xfId="0" applyFont="1" applyAlignment="1">
      <alignment horizontal="center" vertical="top"/>
    </xf>
    <xf numFmtId="0" fontId="57" fillId="0" borderId="0" xfId="0" applyFont="1" applyAlignment="1">
      <alignment textRotation="90"/>
    </xf>
    <xf numFmtId="0" fontId="63" fillId="0" borderId="0" xfId="0" applyFont="1" applyAlignment="1">
      <alignment horizontal="center"/>
    </xf>
    <xf numFmtId="0" fontId="64" fillId="0" borderId="0" xfId="0" applyFont="1" applyAlignment="1">
      <alignment horizontal="center"/>
    </xf>
    <xf numFmtId="0" fontId="36" fillId="0" borderId="1" xfId="0" applyFont="1" applyBorder="1" applyAlignment="1" applyProtection="1">
      <alignment vertical="center"/>
      <protection hidden="1"/>
    </xf>
    <xf numFmtId="0" fontId="36" fillId="0" borderId="0" xfId="0" applyFont="1" applyAlignment="1" applyProtection="1">
      <alignment vertical="center"/>
      <protection hidden="1"/>
    </xf>
    <xf numFmtId="0" fontId="65" fillId="0" borderId="0" xfId="0" applyFont="1" applyAlignment="1">
      <alignment textRotation="90"/>
    </xf>
    <xf numFmtId="0" fontId="65" fillId="0" borderId="0" xfId="0" applyFont="1"/>
    <xf numFmtId="0" fontId="65" fillId="0" borderId="0" xfId="0" applyFont="1" applyAlignment="1">
      <alignment horizontal="center" textRotation="90"/>
    </xf>
    <xf numFmtId="0" fontId="2" fillId="0" borderId="0" xfId="0" applyFont="1" applyProtection="1">
      <protection hidden="1"/>
    </xf>
    <xf numFmtId="0" fontId="7" fillId="0" borderId="0" xfId="0" applyFont="1" applyAlignment="1" applyProtection="1">
      <alignment horizontal="center" vertical="center"/>
      <protection hidden="1"/>
    </xf>
    <xf numFmtId="1" fontId="0" fillId="0" borderId="0" xfId="0" applyNumberFormat="1"/>
    <xf numFmtId="0" fontId="30" fillId="0" borderId="0" xfId="0" applyFont="1" applyAlignment="1">
      <alignment vertical="top"/>
    </xf>
    <xf numFmtId="2" fontId="30" fillId="0" borderId="0" xfId="0" applyNumberFormat="1" applyFont="1" applyAlignment="1">
      <alignment vertical="top"/>
    </xf>
    <xf numFmtId="49" fontId="77" fillId="8" borderId="0" xfId="0" applyNumberFormat="1" applyFont="1" applyFill="1"/>
    <xf numFmtId="0" fontId="56" fillId="8" borderId="0" xfId="0" applyFont="1" applyFill="1"/>
    <xf numFmtId="0" fontId="74" fillId="0" borderId="0" xfId="0" applyFont="1" applyAlignment="1">
      <alignment vertical="top"/>
    </xf>
    <xf numFmtId="0" fontId="74" fillId="0" borderId="0" xfId="0" applyFont="1" applyAlignment="1">
      <alignment horizontal="left" vertical="top"/>
    </xf>
    <xf numFmtId="0" fontId="0" fillId="0" borderId="3" xfId="10" applyFont="1" applyBorder="1" applyAlignment="1" applyProtection="1">
      <alignment vertical="top" wrapText="1"/>
      <protection locked="0"/>
    </xf>
    <xf numFmtId="0" fontId="0" fillId="0" borderId="3" xfId="10" quotePrefix="1" applyFont="1" applyBorder="1" applyAlignment="1" applyProtection="1">
      <alignment horizontal="left" vertical="top" wrapText="1"/>
      <protection locked="0"/>
    </xf>
    <xf numFmtId="0" fontId="28" fillId="0" borderId="1" xfId="0" applyFont="1" applyBorder="1" applyAlignment="1" applyProtection="1">
      <alignment vertical="center"/>
      <protection hidden="1"/>
    </xf>
    <xf numFmtId="0" fontId="51" fillId="0" borderId="1" xfId="0" applyFont="1" applyBorder="1"/>
    <xf numFmtId="0" fontId="49" fillId="0" borderId="0" xfId="0" applyFont="1" applyAlignment="1" applyProtection="1">
      <alignment horizontal="left" vertical="top"/>
      <protection locked="0" hidden="1"/>
    </xf>
    <xf numFmtId="0" fontId="28" fillId="0" borderId="0" xfId="0" applyFont="1" applyAlignment="1" applyProtection="1">
      <alignment vertical="center"/>
      <protection hidden="1"/>
    </xf>
    <xf numFmtId="0" fontId="51" fillId="0" borderId="0" xfId="0" applyFont="1"/>
    <xf numFmtId="0" fontId="30" fillId="0" borderId="0" xfId="0" applyFont="1" applyAlignment="1" applyProtection="1">
      <alignment horizontal="left" vertical="top"/>
      <protection hidden="1"/>
    </xf>
    <xf numFmtId="0" fontId="8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78" fillId="0" borderId="0" xfId="0" applyFont="1"/>
    <xf numFmtId="0" fontId="49" fillId="0" borderId="0" xfId="0" applyFont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0" fontId="5" fillId="8" borderId="0" xfId="0" applyFont="1" applyFill="1" applyAlignment="1">
      <alignment horizontal="left" vertical="top"/>
    </xf>
    <xf numFmtId="0" fontId="2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9" fillId="0" borderId="0" xfId="0" applyFont="1"/>
    <xf numFmtId="0" fontId="75" fillId="0" borderId="0" xfId="0" applyFont="1" applyAlignment="1">
      <alignment horizontal="left" vertical="top"/>
    </xf>
    <xf numFmtId="0" fontId="2" fillId="8" borderId="0" xfId="0" applyFont="1" applyFill="1" applyAlignment="1">
      <alignment horizontal="center" vertical="center"/>
    </xf>
    <xf numFmtId="0" fontId="75" fillId="0" borderId="0" xfId="0" applyFont="1" applyAlignment="1">
      <alignment horizontal="left" vertical="center"/>
    </xf>
    <xf numFmtId="0" fontId="49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center" vertical="top"/>
    </xf>
    <xf numFmtId="0" fontId="7" fillId="8" borderId="0" xfId="17" applyFont="1" applyFill="1" applyBorder="1" applyAlignment="1" applyProtection="1">
      <alignment horizontal="left" vertical="top" wrapText="1"/>
    </xf>
    <xf numFmtId="0" fontId="5" fillId="8" borderId="0" xfId="0" applyFont="1" applyFill="1" applyAlignment="1">
      <alignment horizontal="center" vertical="top"/>
    </xf>
    <xf numFmtId="0" fontId="7" fillId="8" borderId="0" xfId="17" applyFont="1" applyFill="1" applyBorder="1" applyAlignment="1" applyProtection="1">
      <alignment horizontal="center" vertical="top" wrapText="1"/>
    </xf>
    <xf numFmtId="0" fontId="2" fillId="8" borderId="0" xfId="17" applyFont="1" applyFill="1" applyBorder="1" applyAlignment="1" applyProtection="1">
      <alignment horizontal="center" vertical="top" wrapText="1"/>
    </xf>
    <xf numFmtId="0" fontId="79" fillId="8" borderId="0" xfId="17" applyFont="1" applyFill="1" applyBorder="1" applyAlignment="1" applyProtection="1">
      <alignment horizontal="left" vertical="top" wrapText="1"/>
    </xf>
    <xf numFmtId="0" fontId="49" fillId="0" borderId="0" xfId="0" applyFont="1" applyAlignment="1" applyProtection="1">
      <alignment vertical="top"/>
      <protection hidden="1"/>
    </xf>
    <xf numFmtId="0" fontId="7" fillId="8" borderId="0" xfId="0" applyFont="1" applyFill="1" applyAlignment="1">
      <alignment vertical="top"/>
    </xf>
    <xf numFmtId="0" fontId="49" fillId="8" borderId="0" xfId="0" applyFont="1" applyFill="1" applyAlignment="1" applyProtection="1">
      <alignment horizontal="center" vertical="top"/>
      <protection hidden="1"/>
    </xf>
    <xf numFmtId="0" fontId="7" fillId="8" borderId="0" xfId="17" applyFont="1" applyFill="1" applyBorder="1" applyAlignment="1" applyProtection="1">
      <alignment horizontal="center" vertical="center" wrapText="1"/>
    </xf>
    <xf numFmtId="0" fontId="2" fillId="8" borderId="0" xfId="17" applyFont="1" applyFill="1" applyBorder="1" applyAlignment="1" applyProtection="1">
      <alignment horizontal="center" vertical="center" wrapText="1"/>
    </xf>
    <xf numFmtId="0" fontId="79" fillId="8" borderId="0" xfId="17" applyFont="1" applyFill="1" applyBorder="1" applyAlignment="1" applyProtection="1">
      <alignment horizontal="left" vertical="center" wrapText="1"/>
    </xf>
    <xf numFmtId="0" fontId="7" fillId="8" borderId="0" xfId="0" applyFont="1" applyFill="1"/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6" fillId="0" borderId="0" xfId="4" applyProtection="1">
      <protection hidden="1"/>
    </xf>
    <xf numFmtId="0" fontId="43" fillId="0" borderId="0" xfId="1" applyFont="1" applyBorder="1" applyAlignment="1" applyProtection="1">
      <protection locked="0" hidden="1"/>
    </xf>
    <xf numFmtId="0" fontId="49" fillId="0" borderId="0" xfId="0" applyFont="1" applyProtection="1">
      <protection locked="0" hidden="1"/>
    </xf>
    <xf numFmtId="0" fontId="2" fillId="0" borderId="0" xfId="0" applyFont="1" applyAlignment="1" applyProtection="1">
      <alignment vertical="center"/>
      <protection hidden="1"/>
    </xf>
    <xf numFmtId="0" fontId="81" fillId="11" borderId="0" xfId="0" applyFont="1" applyFill="1" applyAlignment="1" applyProtection="1">
      <alignment horizontal="center" vertical="center"/>
      <protection hidden="1"/>
    </xf>
    <xf numFmtId="0" fontId="19" fillId="11" borderId="0" xfId="0" applyFont="1" applyFill="1" applyAlignment="1" applyProtection="1">
      <alignment vertical="center"/>
      <protection hidden="1"/>
    </xf>
    <xf numFmtId="0" fontId="0" fillId="11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6" borderId="8" xfId="0" applyFill="1" applyBorder="1" applyProtection="1">
      <protection hidden="1"/>
    </xf>
    <xf numFmtId="0" fontId="81" fillId="18" borderId="0" xfId="0" applyFont="1" applyFill="1" applyAlignment="1" applyProtection="1">
      <alignment horizontal="center" vertical="center"/>
      <protection hidden="1"/>
    </xf>
    <xf numFmtId="0" fontId="19" fillId="18" borderId="0" xfId="0" applyFont="1" applyFill="1" applyAlignment="1" applyProtection="1">
      <alignment vertical="center"/>
      <protection hidden="1"/>
    </xf>
    <xf numFmtId="0" fontId="0" fillId="1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9" borderId="9" xfId="0" applyFill="1" applyBorder="1" applyProtection="1">
      <protection hidden="1"/>
    </xf>
    <xf numFmtId="0" fontId="74" fillId="0" borderId="1" xfId="0" applyFont="1" applyBorder="1" applyAlignment="1">
      <alignment horizontal="right" vertical="center"/>
    </xf>
    <xf numFmtId="0" fontId="74" fillId="0" borderId="10" xfId="0" applyFont="1" applyBorder="1" applyAlignment="1" applyProtection="1">
      <alignment vertical="top"/>
      <protection hidden="1"/>
    </xf>
    <xf numFmtId="0" fontId="71" fillId="0" borderId="0" xfId="0" applyFont="1" applyProtection="1">
      <protection hidden="1"/>
    </xf>
    <xf numFmtId="0" fontId="74" fillId="0" borderId="1" xfId="0" applyFont="1" applyBorder="1" applyAlignment="1" applyProtection="1">
      <alignment horizontal="right" vertical="center"/>
      <protection hidden="1"/>
    </xf>
    <xf numFmtId="0" fontId="74" fillId="0" borderId="0" xfId="0" applyFont="1" applyAlignment="1" applyProtection="1">
      <alignment vertical="top"/>
      <protection hidden="1"/>
    </xf>
    <xf numFmtId="2" fontId="0" fillId="0" borderId="0" xfId="0" applyNumberFormat="1" applyAlignment="1">
      <alignment vertical="top"/>
    </xf>
    <xf numFmtId="0" fontId="84" fillId="0" borderId="1" xfId="0" applyFont="1" applyBorder="1" applyAlignment="1" applyProtection="1">
      <alignment vertical="center"/>
      <protection hidden="1"/>
    </xf>
    <xf numFmtId="0" fontId="2" fillId="8" borderId="0" xfId="0" applyFont="1" applyFill="1" applyAlignment="1">
      <alignment horizontal="left" indent="12"/>
    </xf>
    <xf numFmtId="0" fontId="1" fillId="0" borderId="3" xfId="10" applyBorder="1" applyAlignment="1" applyProtection="1">
      <alignment vertical="top" wrapText="1"/>
      <protection locked="0"/>
    </xf>
    <xf numFmtId="168" fontId="8" fillId="0" borderId="0" xfId="10" applyNumberFormat="1" applyFont="1" applyAlignment="1" applyProtection="1">
      <alignment vertical="center"/>
      <protection hidden="1"/>
    </xf>
    <xf numFmtId="168" fontId="1" fillId="0" borderId="0" xfId="10" applyNumberFormat="1" applyProtection="1">
      <protection hidden="1"/>
    </xf>
    <xf numFmtId="168" fontId="7" fillId="0" borderId="0" xfId="10" applyNumberFormat="1" applyFont="1" applyAlignment="1" applyProtection="1">
      <alignment vertical="top"/>
      <protection hidden="1"/>
    </xf>
    <xf numFmtId="168" fontId="7" fillId="0" borderId="0" xfId="10" applyNumberFormat="1" applyFont="1" applyProtection="1">
      <protection hidden="1"/>
    </xf>
    <xf numFmtId="0" fontId="30" fillId="8" borderId="0" xfId="0" applyFont="1" applyFill="1" applyProtection="1">
      <protection hidden="1"/>
    </xf>
    <xf numFmtId="0" fontId="82" fillId="0" borderId="0" xfId="0" applyFont="1" applyAlignment="1" applyProtection="1">
      <alignment horizontal="left" vertical="top"/>
      <protection hidden="1"/>
    </xf>
    <xf numFmtId="0" fontId="82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32" fillId="34" borderId="0" xfId="0" applyFont="1" applyFill="1" applyAlignment="1">
      <alignment horizontal="left" vertical="center"/>
    </xf>
    <xf numFmtId="0" fontId="7" fillId="12" borderId="0" xfId="0" applyFont="1" applyFill="1" applyAlignment="1">
      <alignment horizontal="center" vertical="center"/>
    </xf>
    <xf numFmtId="0" fontId="75" fillId="34" borderId="0" xfId="0" applyFont="1" applyFill="1" applyAlignment="1">
      <alignment horizontal="left" vertical="center"/>
    </xf>
    <xf numFmtId="0" fontId="75" fillId="34" borderId="11" xfId="0" applyFont="1" applyFill="1" applyBorder="1" applyAlignment="1">
      <alignment horizontal="left" vertical="center"/>
    </xf>
    <xf numFmtId="0" fontId="75" fillId="34" borderId="11" xfId="0" applyFont="1" applyFill="1" applyBorder="1" applyAlignment="1">
      <alignment horizontal="center" vertical="center"/>
    </xf>
    <xf numFmtId="0" fontId="75" fillId="34" borderId="12" xfId="0" applyFont="1" applyFill="1" applyBorder="1" applyAlignment="1">
      <alignment horizontal="center" vertical="center"/>
    </xf>
    <xf numFmtId="0" fontId="49" fillId="34" borderId="12" xfId="0" applyFont="1" applyFill="1" applyBorder="1" applyAlignment="1">
      <alignment horizontal="center" vertical="center"/>
    </xf>
    <xf numFmtId="0" fontId="49" fillId="34" borderId="11" xfId="0" applyFont="1" applyFill="1" applyBorder="1" applyAlignment="1">
      <alignment horizontal="center" vertical="center"/>
    </xf>
    <xf numFmtId="0" fontId="49" fillId="34" borderId="13" xfId="0" applyFont="1" applyFill="1" applyBorder="1" applyAlignment="1">
      <alignment vertical="center"/>
    </xf>
    <xf numFmtId="0" fontId="32" fillId="23" borderId="0" xfId="0" applyFont="1" applyFill="1" applyAlignment="1">
      <alignment horizontal="left" vertical="center"/>
    </xf>
    <xf numFmtId="0" fontId="0" fillId="11" borderId="16" xfId="0" applyFill="1" applyBorder="1" applyAlignment="1" applyProtection="1">
      <alignment horizontal="center" vertical="top" wrapText="1"/>
      <protection locked="0" hidden="1"/>
    </xf>
    <xf numFmtId="49" fontId="5" fillId="12" borderId="17" xfId="0" applyNumberFormat="1" applyFont="1" applyFill="1" applyBorder="1" applyAlignment="1">
      <alignment horizontal="center" vertical="top"/>
    </xf>
    <xf numFmtId="0" fontId="7" fillId="18" borderId="15" xfId="0" applyFont="1" applyFill="1" applyBorder="1" applyAlignment="1" applyProtection="1">
      <alignment horizontal="left" vertical="top" wrapText="1"/>
      <protection locked="0"/>
    </xf>
    <xf numFmtId="0" fontId="22" fillId="11" borderId="18" xfId="0" applyFont="1" applyFill="1" applyBorder="1" applyAlignment="1" applyProtection="1">
      <alignment horizontal="left" vertical="top" wrapText="1"/>
      <protection hidden="1"/>
    </xf>
    <xf numFmtId="0" fontId="22" fillId="11" borderId="11" xfId="0" applyFont="1" applyFill="1" applyBorder="1" applyAlignment="1" applyProtection="1">
      <alignment horizontal="left" vertical="top" wrapText="1"/>
      <protection hidden="1"/>
    </xf>
    <xf numFmtId="0" fontId="0" fillId="6" borderId="16" xfId="0" applyFill="1" applyBorder="1" applyAlignment="1" applyProtection="1">
      <alignment horizontal="center" vertical="top" wrapText="1"/>
      <protection locked="0" hidden="1"/>
    </xf>
    <xf numFmtId="0" fontId="7" fillId="9" borderId="15" xfId="0" applyFont="1" applyFill="1" applyBorder="1" applyAlignment="1" applyProtection="1">
      <alignment horizontal="left" vertical="top" wrapText="1"/>
      <protection locked="0"/>
    </xf>
    <xf numFmtId="0" fontId="22" fillId="6" borderId="18" xfId="0" applyFont="1" applyFill="1" applyBorder="1" applyAlignment="1" applyProtection="1">
      <alignment horizontal="left" vertical="top" wrapText="1"/>
      <protection hidden="1"/>
    </xf>
    <xf numFmtId="0" fontId="22" fillId="6" borderId="11" xfId="0" applyFont="1" applyFill="1" applyBorder="1" applyAlignment="1" applyProtection="1">
      <alignment horizontal="left" vertical="top" wrapText="1"/>
      <protection hidden="1"/>
    </xf>
    <xf numFmtId="0" fontId="7" fillId="8" borderId="0" xfId="0" applyFont="1" applyFill="1" applyAlignment="1" applyProtection="1">
      <alignment horizontal="center" vertical="top"/>
      <protection hidden="1"/>
    </xf>
    <xf numFmtId="0" fontId="32" fillId="35" borderId="15" xfId="0" applyFont="1" applyFill="1" applyBorder="1" applyAlignment="1">
      <alignment horizontal="left" vertical="center"/>
    </xf>
    <xf numFmtId="0" fontId="75" fillId="35" borderId="15" xfId="0" applyFont="1" applyFill="1" applyBorder="1" applyAlignment="1">
      <alignment horizontal="left" vertical="center"/>
    </xf>
    <xf numFmtId="0" fontId="75" fillId="35" borderId="14" xfId="0" applyFont="1" applyFill="1" applyBorder="1" applyAlignment="1">
      <alignment horizontal="center" vertical="center"/>
    </xf>
    <xf numFmtId="0" fontId="79" fillId="8" borderId="0" xfId="17" applyFont="1" applyFill="1" applyBorder="1" applyAlignment="1" applyProtection="1">
      <alignment horizontal="center" vertical="top" wrapText="1"/>
    </xf>
    <xf numFmtId="0" fontId="7" fillId="17" borderId="15" xfId="0" applyFont="1" applyFill="1" applyBorder="1" applyAlignment="1" applyProtection="1">
      <alignment horizontal="left" vertical="top" wrapText="1"/>
      <protection locked="0"/>
    </xf>
    <xf numFmtId="0" fontId="51" fillId="17" borderId="15" xfId="0" applyFont="1" applyFill="1" applyBorder="1" applyAlignment="1" applyProtection="1">
      <alignment horizontal="center" vertical="top" wrapText="1"/>
      <protection locked="0"/>
    </xf>
    <xf numFmtId="14" fontId="80" fillId="17" borderId="15" xfId="1" applyNumberFormat="1" applyFont="1" applyFill="1" applyBorder="1" applyAlignment="1" applyProtection="1">
      <alignment horizontal="left" vertical="top" wrapText="1"/>
      <protection locked="0"/>
    </xf>
    <xf numFmtId="0" fontId="2" fillId="17" borderId="15" xfId="0" quotePrefix="1" applyFont="1" applyFill="1" applyBorder="1" applyAlignment="1" applyProtection="1">
      <alignment horizontal="center" vertical="top" wrapText="1"/>
      <protection locked="0"/>
    </xf>
    <xf numFmtId="0" fontId="7" fillId="3" borderId="15" xfId="0" applyFont="1" applyFill="1" applyBorder="1" applyAlignment="1" applyProtection="1">
      <alignment horizontal="left" vertical="top" wrapText="1"/>
      <protection locked="0"/>
    </xf>
    <xf numFmtId="0" fontId="51" fillId="3" borderId="15" xfId="0" applyFont="1" applyFill="1" applyBorder="1" applyAlignment="1" applyProtection="1">
      <alignment horizontal="center" vertical="top" wrapText="1"/>
      <protection locked="0"/>
    </xf>
    <xf numFmtId="14" fontId="80" fillId="3" borderId="15" xfId="1" applyNumberFormat="1" applyFont="1" applyFill="1" applyBorder="1" applyAlignment="1" applyProtection="1">
      <alignment horizontal="left" vertical="top" wrapText="1"/>
      <protection locked="0"/>
    </xf>
    <xf numFmtId="0" fontId="2" fillId="3" borderId="15" xfId="0" quotePrefix="1" applyFont="1" applyFill="1" applyBorder="1" applyAlignment="1" applyProtection="1">
      <alignment horizontal="center" vertical="top" wrapText="1"/>
      <protection locked="0"/>
    </xf>
    <xf numFmtId="14" fontId="80" fillId="17" borderId="15" xfId="1" applyNumberFormat="1" applyFont="1" applyFill="1" applyBorder="1" applyAlignment="1" applyProtection="1">
      <alignment horizontal="left" vertical="center" wrapText="1"/>
      <protection locked="0"/>
    </xf>
    <xf numFmtId="0" fontId="2" fillId="17" borderId="15" xfId="0" quotePrefix="1" applyFont="1" applyFill="1" applyBorder="1" applyAlignment="1" applyProtection="1">
      <alignment horizontal="center" vertical="center" wrapText="1"/>
      <protection locked="0"/>
    </xf>
    <xf numFmtId="14" fontId="80" fillId="3" borderId="15" xfId="1" applyNumberFormat="1" applyFont="1" applyFill="1" applyBorder="1" applyAlignment="1" applyProtection="1">
      <alignment horizontal="left" vertical="center" wrapText="1"/>
      <protection locked="0"/>
    </xf>
    <xf numFmtId="0" fontId="2" fillId="3" borderId="15" xfId="0" quotePrefix="1" applyFont="1" applyFill="1" applyBorder="1" applyAlignment="1" applyProtection="1">
      <alignment horizontal="center" vertical="center" wrapText="1"/>
      <protection locked="0"/>
    </xf>
    <xf numFmtId="0" fontId="90" fillId="35" borderId="15" xfId="0" applyFont="1" applyFill="1" applyBorder="1" applyAlignment="1">
      <alignment horizontal="center" textRotation="90"/>
    </xf>
    <xf numFmtId="0" fontId="7" fillId="0" borderId="14" xfId="0" applyFont="1" applyBorder="1" applyAlignment="1">
      <alignment horizontal="center" vertical="top"/>
    </xf>
    <xf numFmtId="1" fontId="52" fillId="0" borderId="15" xfId="0" applyNumberFormat="1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50" fillId="23" borderId="20" xfId="0" applyFont="1" applyFill="1" applyBorder="1" applyAlignment="1">
      <alignment vertical="top" wrapText="1"/>
    </xf>
    <xf numFmtId="0" fontId="50" fillId="23" borderId="18" xfId="0" applyFont="1" applyFill="1" applyBorder="1" applyAlignment="1">
      <alignment vertical="top" wrapText="1"/>
    </xf>
    <xf numFmtId="0" fontId="50" fillId="23" borderId="21" xfId="0" applyFont="1" applyFill="1" applyBorder="1" applyAlignment="1">
      <alignment vertical="top" wrapText="1"/>
    </xf>
    <xf numFmtId="0" fontId="76" fillId="0" borderId="0" xfId="0" applyFont="1" applyAlignment="1">
      <alignment vertical="center"/>
    </xf>
    <xf numFmtId="0" fontId="30" fillId="8" borderId="0" xfId="0" applyFont="1" applyFill="1"/>
    <xf numFmtId="0" fontId="50" fillId="23" borderId="13" xfId="0" applyFont="1" applyFill="1" applyBorder="1" applyAlignment="1">
      <alignment vertical="top" wrapText="1"/>
    </xf>
    <xf numFmtId="0" fontId="50" fillId="23" borderId="11" xfId="0" applyFont="1" applyFill="1" applyBorder="1" applyAlignment="1">
      <alignment vertical="top" wrapText="1"/>
    </xf>
    <xf numFmtId="0" fontId="70" fillId="23" borderId="12" xfId="0" applyFont="1" applyFill="1" applyBorder="1" applyAlignment="1">
      <alignment vertical="top" wrapText="1"/>
    </xf>
    <xf numFmtId="0" fontId="7" fillId="0" borderId="20" xfId="0" applyFont="1" applyBorder="1" applyAlignment="1">
      <alignment horizontal="center" vertical="top"/>
    </xf>
    <xf numFmtId="49" fontId="7" fillId="0" borderId="18" xfId="0" applyNumberFormat="1" applyFont="1" applyBorder="1" applyAlignment="1" applyProtection="1">
      <alignment horizontal="left" vertical="top" wrapText="1"/>
      <protection locked="0"/>
    </xf>
    <xf numFmtId="1" fontId="52" fillId="0" borderId="18" xfId="0" applyNumberFormat="1" applyFont="1" applyBorder="1" applyAlignment="1" applyProtection="1">
      <alignment horizontal="center" vertical="top" wrapText="1"/>
      <protection locked="0"/>
    </xf>
    <xf numFmtId="1" fontId="9" fillId="0" borderId="18" xfId="0" applyNumberFormat="1" applyFont="1" applyBorder="1" applyAlignment="1" applyProtection="1">
      <alignment horizontal="center" vertical="top" wrapText="1"/>
      <protection locked="0"/>
    </xf>
    <xf numFmtId="0" fontId="2" fillId="0" borderId="21" xfId="0" applyFont="1" applyBorder="1" applyAlignment="1" applyProtection="1">
      <alignment horizontal="center" vertical="top" wrapText="1"/>
      <protection locked="0"/>
    </xf>
    <xf numFmtId="49" fontId="7" fillId="0" borderId="15" xfId="0" applyNumberFormat="1" applyFont="1" applyBorder="1" applyAlignment="1" applyProtection="1">
      <alignment horizontal="left" vertical="top" wrapText="1"/>
      <protection locked="0"/>
    </xf>
    <xf numFmtId="1" fontId="52" fillId="0" borderId="15" xfId="0" applyNumberFormat="1" applyFont="1" applyBorder="1" applyAlignment="1" applyProtection="1">
      <alignment horizontal="center" vertical="top" wrapText="1"/>
      <protection locked="0"/>
    </xf>
    <xf numFmtId="1" fontId="9" fillId="0" borderId="15" xfId="0" applyNumberFormat="1" applyFont="1" applyBorder="1" applyAlignment="1" applyProtection="1">
      <alignment horizontal="center" vertical="top" wrapText="1"/>
      <protection locked="0"/>
    </xf>
    <xf numFmtId="49" fontId="7" fillId="0" borderId="15" xfId="0" quotePrefix="1" applyNumberFormat="1" applyFont="1" applyBorder="1" applyAlignment="1" applyProtection="1">
      <alignment horizontal="left" vertical="top" wrapText="1"/>
      <protection locked="0"/>
    </xf>
    <xf numFmtId="0" fontId="2" fillId="0" borderId="17" xfId="0" applyFont="1" applyBorder="1" applyAlignment="1" applyProtection="1">
      <alignment horizontal="center" vertical="top" wrapText="1"/>
      <protection locked="0"/>
    </xf>
    <xf numFmtId="0" fontId="7" fillId="0" borderId="22" xfId="0" applyFont="1" applyBorder="1" applyAlignment="1">
      <alignment horizontal="center" vertical="top"/>
    </xf>
    <xf numFmtId="49" fontId="7" fillId="0" borderId="16" xfId="0" applyNumberFormat="1" applyFont="1" applyBorder="1" applyAlignment="1" applyProtection="1">
      <alignment horizontal="left" vertical="top" wrapText="1"/>
      <protection locked="0"/>
    </xf>
    <xf numFmtId="1" fontId="9" fillId="0" borderId="16" xfId="0" applyNumberFormat="1" applyFont="1" applyBorder="1" applyAlignment="1" applyProtection="1">
      <alignment horizontal="center" vertical="top" wrapText="1"/>
      <protection locked="0"/>
    </xf>
    <xf numFmtId="0" fontId="2" fillId="0" borderId="19" xfId="0" applyFont="1" applyBorder="1" applyAlignment="1" applyProtection="1">
      <alignment horizontal="center" vertical="top" wrapText="1"/>
      <protection locked="0"/>
    </xf>
    <xf numFmtId="0" fontId="91" fillId="8" borderId="0" xfId="0" applyFont="1" applyFill="1" applyAlignment="1">
      <alignment horizontal="left"/>
    </xf>
    <xf numFmtId="0" fontId="76" fillId="0" borderId="0" xfId="0" applyFont="1" applyAlignment="1" applyProtection="1">
      <alignment vertical="center"/>
      <protection hidden="1"/>
    </xf>
    <xf numFmtId="2" fontId="30" fillId="0" borderId="0" xfId="10" applyNumberFormat="1" applyFont="1" applyAlignment="1">
      <alignment vertical="top"/>
    </xf>
    <xf numFmtId="2" fontId="30" fillId="0" borderId="0" xfId="10" applyNumberFormat="1" applyFont="1"/>
    <xf numFmtId="0" fontId="69" fillId="36" borderId="0" xfId="0" applyFont="1" applyFill="1" applyProtection="1">
      <protection hidden="1"/>
    </xf>
    <xf numFmtId="0" fontId="69" fillId="36" borderId="0" xfId="0" applyFont="1" applyFill="1"/>
    <xf numFmtId="0" fontId="30" fillId="36" borderId="0" xfId="0" applyFont="1" applyFill="1"/>
    <xf numFmtId="0" fontId="14" fillId="37" borderId="18" xfId="0" applyFont="1" applyFill="1" applyBorder="1" applyAlignment="1">
      <alignment vertical="top" wrapText="1"/>
    </xf>
    <xf numFmtId="0" fontId="4" fillId="37" borderId="18" xfId="0" applyFont="1" applyFill="1" applyBorder="1" applyAlignment="1">
      <alignment vertical="top" wrapText="1"/>
    </xf>
    <xf numFmtId="0" fontId="0" fillId="4" borderId="15" xfId="0" applyFill="1" applyBorder="1" applyAlignment="1" applyProtection="1">
      <alignment horizontal="center" vertical="top"/>
      <protection hidden="1"/>
    </xf>
    <xf numFmtId="0" fontId="0" fillId="4" borderId="15" xfId="0" applyFill="1" applyBorder="1" applyAlignment="1" applyProtection="1">
      <alignment horizontal="left" vertical="top" wrapText="1"/>
      <protection locked="0"/>
    </xf>
    <xf numFmtId="1" fontId="52" fillId="4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4" borderId="15" xfId="0" applyNumberFormat="1" applyFont="1" applyFill="1" applyBorder="1" applyAlignment="1" applyProtection="1">
      <alignment horizontal="center" vertical="top" wrapText="1"/>
      <protection locked="0"/>
    </xf>
    <xf numFmtId="0" fontId="2" fillId="4" borderId="15" xfId="0" applyFont="1" applyFill="1" applyBorder="1" applyAlignment="1" applyProtection="1">
      <alignment horizontal="center" vertical="top" wrapText="1"/>
      <protection locked="0"/>
    </xf>
    <xf numFmtId="0" fontId="0" fillId="20" borderId="15" xfId="0" applyFill="1" applyBorder="1" applyAlignment="1" applyProtection="1">
      <alignment horizontal="center" vertical="top"/>
      <protection locked="0"/>
    </xf>
    <xf numFmtId="0" fontId="0" fillId="20" borderId="15" xfId="0" applyFill="1" applyBorder="1" applyAlignment="1" applyProtection="1">
      <alignment horizontal="left" vertical="top" wrapText="1"/>
      <protection locked="0"/>
    </xf>
    <xf numFmtId="1" fontId="52" fillId="20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20" borderId="15" xfId="0" applyNumberFormat="1" applyFont="1" applyFill="1" applyBorder="1" applyAlignment="1" applyProtection="1">
      <alignment horizontal="center" vertical="top" wrapText="1"/>
      <protection locked="0"/>
    </xf>
    <xf numFmtId="0" fontId="2" fillId="20" borderId="15" xfId="0" applyFont="1" applyFill="1" applyBorder="1" applyAlignment="1" applyProtection="1">
      <alignment horizontal="center" vertical="top" wrapText="1"/>
      <protection locked="0"/>
    </xf>
    <xf numFmtId="0" fontId="0" fillId="4" borderId="15" xfId="0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right" vertical="top"/>
    </xf>
    <xf numFmtId="2" fontId="0" fillId="0" borderId="7" xfId="0" applyNumberFormat="1" applyBorder="1" applyAlignment="1">
      <alignment horizontal="center" vertical="top"/>
    </xf>
    <xf numFmtId="0" fontId="69" fillId="38" borderId="0" xfId="0" applyFont="1" applyFill="1" applyAlignment="1" applyProtection="1">
      <alignment vertical="top"/>
      <protection locked="0"/>
    </xf>
    <xf numFmtId="0" fontId="69" fillId="38" borderId="0" xfId="0" applyFont="1" applyFill="1" applyAlignment="1">
      <alignment vertical="top"/>
    </xf>
    <xf numFmtId="0" fontId="30" fillId="38" borderId="0" xfId="0" applyFont="1" applyFill="1" applyAlignment="1">
      <alignment vertical="top"/>
    </xf>
    <xf numFmtId="0" fontId="14" fillId="22" borderId="20" xfId="0" applyFont="1" applyFill="1" applyBorder="1" applyAlignment="1">
      <alignment vertical="top"/>
    </xf>
    <xf numFmtId="0" fontId="14" fillId="22" borderId="18" xfId="0" applyFont="1" applyFill="1" applyBorder="1" applyAlignment="1">
      <alignment vertical="top"/>
    </xf>
    <xf numFmtId="0" fontId="4" fillId="22" borderId="18" xfId="0" applyFont="1" applyFill="1" applyBorder="1" applyAlignment="1">
      <alignment vertical="top" wrapText="1"/>
    </xf>
    <xf numFmtId="0" fontId="4" fillId="22" borderId="21" xfId="0" applyFont="1" applyFill="1" applyBorder="1" applyAlignment="1">
      <alignment vertical="top"/>
    </xf>
    <xf numFmtId="0" fontId="0" fillId="5" borderId="14" xfId="0" applyFill="1" applyBorder="1" applyAlignment="1" applyProtection="1">
      <alignment horizontal="center" vertical="top"/>
      <protection locked="0"/>
    </xf>
    <xf numFmtId="0" fontId="0" fillId="5" borderId="15" xfId="0" applyFill="1" applyBorder="1" applyAlignment="1" applyProtection="1">
      <alignment horizontal="left" vertical="top" wrapText="1"/>
      <protection locked="0"/>
    </xf>
    <xf numFmtId="1" fontId="52" fillId="5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5" borderId="15" xfId="0" applyNumberFormat="1" applyFont="1" applyFill="1" applyBorder="1" applyAlignment="1" applyProtection="1">
      <alignment horizontal="center" vertical="top" wrapText="1"/>
      <protection locked="0"/>
    </xf>
    <xf numFmtId="0" fontId="2" fillId="5" borderId="17" xfId="0" applyFont="1" applyFill="1" applyBorder="1" applyAlignment="1" applyProtection="1">
      <alignment horizontal="center" vertical="top" wrapText="1"/>
      <protection locked="0"/>
    </xf>
    <xf numFmtId="0" fontId="0" fillId="19" borderId="14" xfId="0" applyFill="1" applyBorder="1" applyAlignment="1" applyProtection="1">
      <alignment horizontal="center" vertical="top"/>
      <protection locked="0"/>
    </xf>
    <xf numFmtId="0" fontId="0" fillId="19" borderId="15" xfId="0" applyFill="1" applyBorder="1" applyAlignment="1" applyProtection="1">
      <alignment horizontal="left" vertical="top" wrapText="1"/>
      <protection locked="0"/>
    </xf>
    <xf numFmtId="1" fontId="52" fillId="19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19" borderId="15" xfId="0" applyNumberFormat="1" applyFont="1" applyFill="1" applyBorder="1" applyAlignment="1" applyProtection="1">
      <alignment horizontal="center" vertical="top" wrapText="1"/>
      <protection locked="0"/>
    </xf>
    <xf numFmtId="0" fontId="2" fillId="19" borderId="17" xfId="0" applyFont="1" applyFill="1" applyBorder="1" applyAlignment="1" applyProtection="1">
      <alignment horizontal="center" vertical="top" wrapText="1"/>
      <protection locked="0"/>
    </xf>
    <xf numFmtId="0" fontId="0" fillId="19" borderId="22" xfId="0" applyFill="1" applyBorder="1" applyAlignment="1" applyProtection="1">
      <alignment horizontal="center" vertical="top"/>
      <protection locked="0"/>
    </xf>
    <xf numFmtId="0" fontId="0" fillId="19" borderId="16" xfId="0" applyFill="1" applyBorder="1" applyAlignment="1" applyProtection="1">
      <alignment horizontal="left" vertical="top" wrapText="1"/>
      <protection locked="0"/>
    </xf>
    <xf numFmtId="1" fontId="52" fillId="19" borderId="16" xfId="0" applyNumberFormat="1" applyFont="1" applyFill="1" applyBorder="1" applyAlignment="1" applyProtection="1">
      <alignment horizontal="center" vertical="top" wrapText="1"/>
      <protection locked="0"/>
    </xf>
    <xf numFmtId="1" fontId="16" fillId="19" borderId="16" xfId="0" applyNumberFormat="1" applyFont="1" applyFill="1" applyBorder="1" applyAlignment="1" applyProtection="1">
      <alignment horizontal="center" vertical="top" wrapText="1"/>
      <protection locked="0"/>
    </xf>
    <xf numFmtId="0" fontId="2" fillId="19" borderId="19" xfId="0" applyFont="1" applyFill="1" applyBorder="1" applyAlignment="1" applyProtection="1">
      <alignment horizontal="center" vertical="top" wrapText="1"/>
      <protection locked="0"/>
    </xf>
    <xf numFmtId="0" fontId="69" fillId="27" borderId="0" xfId="0" applyFont="1" applyFill="1" applyAlignment="1" applyProtection="1">
      <alignment vertical="top"/>
      <protection locked="0"/>
    </xf>
    <xf numFmtId="0" fontId="69" fillId="27" borderId="0" xfId="0" applyFont="1" applyFill="1" applyAlignment="1">
      <alignment vertical="top"/>
    </xf>
    <xf numFmtId="0" fontId="30" fillId="27" borderId="0" xfId="0" applyFont="1" applyFill="1" applyAlignment="1">
      <alignment vertical="top"/>
    </xf>
    <xf numFmtId="0" fontId="14" fillId="28" borderId="20" xfId="0" applyFont="1" applyFill="1" applyBorder="1" applyAlignment="1">
      <alignment vertical="top" wrapText="1"/>
    </xf>
    <xf numFmtId="0" fontId="14" fillId="28" borderId="18" xfId="0" applyFont="1" applyFill="1" applyBorder="1" applyAlignment="1">
      <alignment vertical="top" wrapText="1"/>
    </xf>
    <xf numFmtId="0" fontId="4" fillId="28" borderId="18" xfId="0" applyFont="1" applyFill="1" applyBorder="1" applyAlignment="1">
      <alignment vertical="top" wrapText="1"/>
    </xf>
    <xf numFmtId="0" fontId="4" fillId="28" borderId="21" xfId="0" applyFont="1" applyFill="1" applyBorder="1" applyAlignment="1">
      <alignment vertical="top" wrapText="1"/>
    </xf>
    <xf numFmtId="0" fontId="0" fillId="9" borderId="14" xfId="0" applyFill="1" applyBorder="1" applyAlignment="1" applyProtection="1">
      <alignment horizontal="center" vertical="top"/>
      <protection locked="0"/>
    </xf>
    <xf numFmtId="0" fontId="0" fillId="9" borderId="15" xfId="0" applyFill="1" applyBorder="1" applyAlignment="1" applyProtection="1">
      <alignment horizontal="left" vertical="top" wrapText="1"/>
      <protection locked="0"/>
    </xf>
    <xf numFmtId="1" fontId="52" fillId="9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9" borderId="15" xfId="0" applyNumberFormat="1" applyFont="1" applyFill="1" applyBorder="1" applyAlignment="1" applyProtection="1">
      <alignment horizontal="center" vertical="top" wrapText="1"/>
      <protection locked="0"/>
    </xf>
    <xf numFmtId="0" fontId="2" fillId="9" borderId="17" xfId="0" applyFont="1" applyFill="1" applyBorder="1" applyAlignment="1" applyProtection="1">
      <alignment horizontal="center" vertical="top" wrapText="1"/>
      <protection locked="0"/>
    </xf>
    <xf numFmtId="0" fontId="0" fillId="18" borderId="14" xfId="0" applyFill="1" applyBorder="1" applyAlignment="1" applyProtection="1">
      <alignment horizontal="center" vertical="top"/>
      <protection locked="0"/>
    </xf>
    <xf numFmtId="0" fontId="0" fillId="18" borderId="15" xfId="0" applyFill="1" applyBorder="1" applyAlignment="1" applyProtection="1">
      <alignment horizontal="left" vertical="top" wrapText="1"/>
      <protection locked="0"/>
    </xf>
    <xf numFmtId="1" fontId="52" fillId="18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18" borderId="15" xfId="0" applyNumberFormat="1" applyFont="1" applyFill="1" applyBorder="1" applyAlignment="1" applyProtection="1">
      <alignment horizontal="center" vertical="top" wrapText="1"/>
      <protection locked="0"/>
    </xf>
    <xf numFmtId="0" fontId="2" fillId="18" borderId="17" xfId="0" applyFont="1" applyFill="1" applyBorder="1" applyAlignment="1" applyProtection="1">
      <alignment horizontal="center" vertical="top" wrapText="1"/>
      <protection locked="0"/>
    </xf>
    <xf numFmtId="0" fontId="0" fillId="18" borderId="22" xfId="0" applyFill="1" applyBorder="1" applyAlignment="1" applyProtection="1">
      <alignment horizontal="center" vertical="top"/>
      <protection locked="0"/>
    </xf>
    <xf numFmtId="0" fontId="0" fillId="18" borderId="16" xfId="0" applyFill="1" applyBorder="1" applyAlignment="1" applyProtection="1">
      <alignment horizontal="left" vertical="top" wrapText="1"/>
      <protection locked="0"/>
    </xf>
    <xf numFmtId="1" fontId="52" fillId="18" borderId="16" xfId="0" applyNumberFormat="1" applyFont="1" applyFill="1" applyBorder="1" applyAlignment="1" applyProtection="1">
      <alignment horizontal="center" vertical="top" wrapText="1"/>
      <protection locked="0"/>
    </xf>
    <xf numFmtId="1" fontId="16" fillId="18" borderId="16" xfId="0" applyNumberFormat="1" applyFont="1" applyFill="1" applyBorder="1" applyAlignment="1" applyProtection="1">
      <alignment horizontal="center" vertical="top" wrapText="1"/>
      <protection locked="0"/>
    </xf>
    <xf numFmtId="0" fontId="2" fillId="18" borderId="19" xfId="0" applyFont="1" applyFill="1" applyBorder="1" applyAlignment="1" applyProtection="1">
      <alignment horizontal="center" vertical="top" wrapText="1"/>
      <protection locked="0"/>
    </xf>
    <xf numFmtId="0" fontId="69" fillId="35" borderId="0" xfId="0" applyFont="1" applyFill="1" applyAlignment="1" applyProtection="1">
      <alignment vertical="top"/>
      <protection locked="0"/>
    </xf>
    <xf numFmtId="0" fontId="69" fillId="35" borderId="0" xfId="0" applyFont="1" applyFill="1" applyAlignment="1">
      <alignment vertical="top"/>
    </xf>
    <xf numFmtId="0" fontId="30" fillId="35" borderId="0" xfId="0" applyFont="1" applyFill="1" applyAlignment="1">
      <alignment vertical="top"/>
    </xf>
    <xf numFmtId="0" fontId="14" fillId="24" borderId="20" xfId="0" applyFont="1" applyFill="1" applyBorder="1" applyAlignment="1">
      <alignment vertical="top" wrapText="1"/>
    </xf>
    <xf numFmtId="0" fontId="14" fillId="24" borderId="18" xfId="0" applyFont="1" applyFill="1" applyBorder="1" applyAlignment="1">
      <alignment vertical="top" wrapText="1"/>
    </xf>
    <xf numFmtId="0" fontId="4" fillId="24" borderId="18" xfId="0" applyFont="1" applyFill="1" applyBorder="1" applyAlignment="1">
      <alignment vertical="top" wrapText="1"/>
    </xf>
    <xf numFmtId="0" fontId="4" fillId="24" borderId="21" xfId="0" applyFont="1" applyFill="1" applyBorder="1" applyAlignment="1">
      <alignment vertical="top" wrapText="1"/>
    </xf>
    <xf numFmtId="0" fontId="0" fillId="3" borderId="14" xfId="0" applyFill="1" applyBorder="1" applyAlignment="1" applyProtection="1">
      <alignment horizontal="center" vertical="top"/>
      <protection locked="0"/>
    </xf>
    <xf numFmtId="0" fontId="0" fillId="3" borderId="15" xfId="0" applyFill="1" applyBorder="1" applyAlignment="1" applyProtection="1">
      <alignment horizontal="left" vertical="top" wrapText="1"/>
      <protection locked="0"/>
    </xf>
    <xf numFmtId="1" fontId="52" fillId="3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3" borderId="15" xfId="0" applyNumberFormat="1" applyFont="1" applyFill="1" applyBorder="1" applyAlignment="1" applyProtection="1">
      <alignment horizontal="center" vertical="top" wrapText="1"/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0" fillId="17" borderId="14" xfId="0" applyFill="1" applyBorder="1" applyAlignment="1" applyProtection="1">
      <alignment horizontal="center" vertical="top"/>
      <protection locked="0"/>
    </xf>
    <xf numFmtId="0" fontId="0" fillId="17" borderId="15" xfId="0" applyFill="1" applyBorder="1" applyAlignment="1" applyProtection="1">
      <alignment horizontal="left" vertical="top" wrapText="1"/>
      <protection locked="0"/>
    </xf>
    <xf numFmtId="1" fontId="52" fillId="17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17" borderId="15" xfId="0" applyNumberFormat="1" applyFont="1" applyFill="1" applyBorder="1" applyAlignment="1" applyProtection="1">
      <alignment horizontal="center" vertical="top" wrapText="1"/>
      <protection locked="0"/>
    </xf>
    <xf numFmtId="0" fontId="2" fillId="17" borderId="17" xfId="0" applyFont="1" applyFill="1" applyBorder="1" applyAlignment="1" applyProtection="1">
      <alignment horizontal="center" vertical="top" wrapText="1"/>
      <protection locked="0"/>
    </xf>
    <xf numFmtId="0" fontId="0" fillId="17" borderId="22" xfId="0" applyFill="1" applyBorder="1" applyAlignment="1" applyProtection="1">
      <alignment horizontal="center" vertical="top"/>
      <protection locked="0"/>
    </xf>
    <xf numFmtId="0" fontId="0" fillId="17" borderId="16" xfId="0" applyFill="1" applyBorder="1" applyAlignment="1" applyProtection="1">
      <alignment horizontal="left" vertical="top" wrapText="1"/>
      <protection locked="0"/>
    </xf>
    <xf numFmtId="1" fontId="52" fillId="17" borderId="16" xfId="0" applyNumberFormat="1" applyFont="1" applyFill="1" applyBorder="1" applyAlignment="1" applyProtection="1">
      <alignment horizontal="center" vertical="top" wrapText="1"/>
      <protection locked="0"/>
    </xf>
    <xf numFmtId="1" fontId="16" fillId="17" borderId="16" xfId="0" applyNumberFormat="1" applyFont="1" applyFill="1" applyBorder="1" applyAlignment="1" applyProtection="1">
      <alignment horizontal="center" vertical="top" wrapText="1"/>
      <protection locked="0"/>
    </xf>
    <xf numFmtId="0" fontId="2" fillId="17" borderId="19" xfId="0" applyFont="1" applyFill="1" applyBorder="1" applyAlignment="1" applyProtection="1">
      <alignment horizontal="center" vertical="top" wrapText="1"/>
      <protection locked="0"/>
    </xf>
    <xf numFmtId="0" fontId="69" fillId="39" borderId="0" xfId="0" applyFont="1" applyFill="1" applyAlignment="1" applyProtection="1">
      <alignment vertical="top"/>
      <protection locked="0"/>
    </xf>
    <xf numFmtId="0" fontId="69" fillId="39" borderId="0" xfId="0" applyFont="1" applyFill="1" applyAlignment="1">
      <alignment vertical="top"/>
    </xf>
    <xf numFmtId="0" fontId="30" fillId="39" borderId="0" xfId="0" applyFont="1" applyFill="1" applyAlignment="1">
      <alignment vertical="top"/>
    </xf>
    <xf numFmtId="0" fontId="14" fillId="26" borderId="20" xfId="0" applyFont="1" applyFill="1" applyBorder="1" applyAlignment="1">
      <alignment vertical="top" wrapText="1"/>
    </xf>
    <xf numFmtId="0" fontId="14" fillId="26" borderId="18" xfId="0" applyFont="1" applyFill="1" applyBorder="1" applyAlignment="1">
      <alignment vertical="top" wrapText="1"/>
    </xf>
    <xf numFmtId="0" fontId="4" fillId="26" borderId="18" xfId="0" applyFont="1" applyFill="1" applyBorder="1" applyAlignment="1">
      <alignment vertical="top" wrapText="1"/>
    </xf>
    <xf numFmtId="0" fontId="4" fillId="26" borderId="21" xfId="0" applyFont="1" applyFill="1" applyBorder="1" applyAlignment="1">
      <alignment vertical="top" wrapText="1"/>
    </xf>
    <xf numFmtId="0" fontId="0" fillId="6" borderId="14" xfId="0" applyFill="1" applyBorder="1" applyAlignment="1" applyProtection="1">
      <alignment horizontal="center" vertical="top"/>
      <protection locked="0"/>
    </xf>
    <xf numFmtId="0" fontId="0" fillId="6" borderId="15" xfId="0" applyFill="1" applyBorder="1" applyAlignment="1" applyProtection="1">
      <alignment horizontal="left" vertical="top" wrapText="1"/>
      <protection locked="0"/>
    </xf>
    <xf numFmtId="1" fontId="52" fillId="6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6" borderId="15" xfId="0" applyNumberFormat="1" applyFont="1" applyFill="1" applyBorder="1" applyAlignment="1" applyProtection="1">
      <alignment horizontal="center" vertical="top" wrapText="1"/>
      <protection locked="0"/>
    </xf>
    <xf numFmtId="0" fontId="2" fillId="6" borderId="17" xfId="0" applyFont="1" applyFill="1" applyBorder="1" applyAlignment="1" applyProtection="1">
      <alignment horizontal="center" vertical="top" wrapText="1"/>
      <protection locked="0"/>
    </xf>
    <xf numFmtId="0" fontId="0" fillId="11" borderId="14" xfId="0" applyFill="1" applyBorder="1" applyAlignment="1" applyProtection="1">
      <alignment horizontal="center" vertical="top"/>
      <protection locked="0"/>
    </xf>
    <xf numFmtId="0" fontId="0" fillId="11" borderId="15" xfId="0" applyFill="1" applyBorder="1" applyAlignment="1" applyProtection="1">
      <alignment horizontal="left" vertical="top" wrapText="1"/>
      <protection locked="0"/>
    </xf>
    <xf numFmtId="1" fontId="52" fillId="11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11" borderId="15" xfId="0" applyNumberFormat="1" applyFont="1" applyFill="1" applyBorder="1" applyAlignment="1" applyProtection="1">
      <alignment horizontal="center" vertical="top" wrapText="1"/>
      <protection locked="0"/>
    </xf>
    <xf numFmtId="0" fontId="2" fillId="11" borderId="17" xfId="0" applyFont="1" applyFill="1" applyBorder="1" applyAlignment="1" applyProtection="1">
      <alignment horizontal="center" vertical="top" wrapText="1"/>
      <protection locked="0"/>
    </xf>
    <xf numFmtId="0" fontId="0" fillId="11" borderId="22" xfId="0" applyFill="1" applyBorder="1" applyAlignment="1" applyProtection="1">
      <alignment horizontal="center" vertical="top"/>
      <protection locked="0"/>
    </xf>
    <xf numFmtId="0" fontId="0" fillId="11" borderId="16" xfId="0" applyFill="1" applyBorder="1" applyAlignment="1" applyProtection="1">
      <alignment horizontal="left" vertical="top" wrapText="1"/>
      <protection locked="0"/>
    </xf>
    <xf numFmtId="1" fontId="52" fillId="11" borderId="16" xfId="0" applyNumberFormat="1" applyFont="1" applyFill="1" applyBorder="1" applyAlignment="1" applyProtection="1">
      <alignment horizontal="center" vertical="top" wrapText="1"/>
      <protection locked="0"/>
    </xf>
    <xf numFmtId="1" fontId="16" fillId="11" borderId="16" xfId="0" applyNumberFormat="1" applyFont="1" applyFill="1" applyBorder="1" applyAlignment="1" applyProtection="1">
      <alignment horizontal="center" vertical="top" wrapText="1"/>
      <protection locked="0"/>
    </xf>
    <xf numFmtId="0" fontId="2" fillId="11" borderId="19" xfId="0" applyFont="1" applyFill="1" applyBorder="1" applyAlignment="1" applyProtection="1">
      <alignment horizontal="center" vertical="top" wrapText="1"/>
      <protection locked="0"/>
    </xf>
    <xf numFmtId="0" fontId="69" fillId="40" borderId="0" xfId="0" applyFont="1" applyFill="1" applyAlignment="1" applyProtection="1">
      <alignment vertical="top"/>
      <protection locked="0"/>
    </xf>
    <xf numFmtId="0" fontId="69" fillId="40" borderId="0" xfId="0" applyFont="1" applyFill="1" applyAlignment="1">
      <alignment vertical="top"/>
    </xf>
    <xf numFmtId="0" fontId="30" fillId="40" borderId="0" xfId="0" applyFont="1" applyFill="1" applyAlignment="1">
      <alignment vertical="top"/>
    </xf>
    <xf numFmtId="0" fontId="14" fillId="41" borderId="0" xfId="0" applyFont="1" applyFill="1" applyAlignment="1">
      <alignment vertical="top" wrapText="1"/>
    </xf>
    <xf numFmtId="0" fontId="4" fillId="41" borderId="0" xfId="0" applyFont="1" applyFill="1" applyAlignment="1">
      <alignment vertical="top" wrapText="1"/>
    </xf>
    <xf numFmtId="0" fontId="0" fillId="16" borderId="20" xfId="0" applyFill="1" applyBorder="1" applyAlignment="1" applyProtection="1">
      <alignment horizontal="center" vertical="top"/>
      <protection locked="0"/>
    </xf>
    <xf numFmtId="0" fontId="0" fillId="16" borderId="18" xfId="0" applyFill="1" applyBorder="1" applyAlignment="1" applyProtection="1">
      <alignment horizontal="left" vertical="top" wrapText="1"/>
      <protection locked="0"/>
    </xf>
    <xf numFmtId="1" fontId="52" fillId="16" borderId="18" xfId="0" applyNumberFormat="1" applyFont="1" applyFill="1" applyBorder="1" applyAlignment="1" applyProtection="1">
      <alignment horizontal="center" vertical="top" wrapText="1"/>
      <protection locked="0"/>
    </xf>
    <xf numFmtId="1" fontId="16" fillId="16" borderId="18" xfId="0" applyNumberFormat="1" applyFont="1" applyFill="1" applyBorder="1" applyAlignment="1" applyProtection="1">
      <alignment horizontal="center" vertical="top" wrapText="1"/>
      <protection locked="0"/>
    </xf>
    <xf numFmtId="0" fontId="2" fillId="16" borderId="21" xfId="0" applyFont="1" applyFill="1" applyBorder="1" applyAlignment="1" applyProtection="1">
      <alignment horizontal="center" vertical="top" wrapText="1"/>
      <protection locked="0"/>
    </xf>
    <xf numFmtId="0" fontId="0" fillId="15" borderId="14" xfId="0" applyFill="1" applyBorder="1" applyAlignment="1" applyProtection="1">
      <alignment horizontal="center" vertical="top"/>
      <protection locked="0"/>
    </xf>
    <xf numFmtId="0" fontId="0" fillId="15" borderId="15" xfId="0" applyFill="1" applyBorder="1" applyAlignment="1" applyProtection="1">
      <alignment horizontal="left" vertical="top" wrapText="1"/>
      <protection locked="0"/>
    </xf>
    <xf numFmtId="1" fontId="52" fillId="15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15" borderId="15" xfId="0" applyNumberFormat="1" applyFont="1" applyFill="1" applyBorder="1" applyAlignment="1" applyProtection="1">
      <alignment horizontal="center" vertical="top" wrapText="1"/>
      <protection locked="0"/>
    </xf>
    <xf numFmtId="0" fontId="2" fillId="15" borderId="17" xfId="0" applyFont="1" applyFill="1" applyBorder="1" applyAlignment="1" applyProtection="1">
      <alignment horizontal="center" vertical="top" wrapText="1"/>
      <protection locked="0"/>
    </xf>
    <xf numFmtId="0" fontId="0" fillId="16" borderId="14" xfId="0" applyFill="1" applyBorder="1" applyAlignment="1" applyProtection="1">
      <alignment horizontal="center" vertical="top"/>
      <protection locked="0"/>
    </xf>
    <xf numFmtId="0" fontId="0" fillId="16" borderId="15" xfId="0" applyFill="1" applyBorder="1" applyAlignment="1" applyProtection="1">
      <alignment horizontal="left" vertical="top" wrapText="1"/>
      <protection locked="0"/>
    </xf>
    <xf numFmtId="1" fontId="52" fillId="16" borderId="15" xfId="0" applyNumberFormat="1" applyFont="1" applyFill="1" applyBorder="1" applyAlignment="1" applyProtection="1">
      <alignment horizontal="center" vertical="top" wrapText="1"/>
      <protection locked="0"/>
    </xf>
    <xf numFmtId="1" fontId="16" fillId="16" borderId="15" xfId="0" applyNumberFormat="1" applyFont="1" applyFill="1" applyBorder="1" applyAlignment="1" applyProtection="1">
      <alignment horizontal="center" vertical="top" wrapText="1"/>
      <protection locked="0"/>
    </xf>
    <xf numFmtId="0" fontId="2" fillId="16" borderId="17" xfId="0" applyFont="1" applyFill="1" applyBorder="1" applyAlignment="1" applyProtection="1">
      <alignment horizontal="center" vertical="top" wrapText="1"/>
      <protection locked="0"/>
    </xf>
    <xf numFmtId="0" fontId="0" fillId="15" borderId="22" xfId="0" applyFill="1" applyBorder="1" applyAlignment="1" applyProtection="1">
      <alignment horizontal="center" vertical="top"/>
      <protection locked="0"/>
    </xf>
    <xf numFmtId="0" fontId="0" fillId="15" borderId="16" xfId="0" applyFill="1" applyBorder="1" applyAlignment="1" applyProtection="1">
      <alignment horizontal="left" vertical="top" wrapText="1"/>
      <protection locked="0"/>
    </xf>
    <xf numFmtId="1" fontId="52" fillId="15" borderId="16" xfId="0" applyNumberFormat="1" applyFont="1" applyFill="1" applyBorder="1" applyAlignment="1" applyProtection="1">
      <alignment horizontal="center" vertical="top" wrapText="1"/>
      <protection locked="0"/>
    </xf>
    <xf numFmtId="1" fontId="16" fillId="15" borderId="16" xfId="0" applyNumberFormat="1" applyFont="1" applyFill="1" applyBorder="1" applyAlignment="1" applyProtection="1">
      <alignment horizontal="center" vertical="top" wrapText="1"/>
      <protection locked="0"/>
    </xf>
    <xf numFmtId="0" fontId="2" fillId="15" borderId="19" xfId="0" applyFont="1" applyFill="1" applyBorder="1" applyAlignment="1" applyProtection="1">
      <alignment horizontal="center" vertical="top" wrapText="1"/>
      <protection locked="0"/>
    </xf>
    <xf numFmtId="1" fontId="52" fillId="0" borderId="16" xfId="0" applyNumberFormat="1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74" fillId="0" borderId="1" xfId="0" applyFont="1" applyBorder="1" applyAlignment="1">
      <alignment horizontal="left" vertical="center"/>
    </xf>
    <xf numFmtId="0" fontId="7" fillId="0" borderId="20" xfId="3" applyFont="1" applyFill="1" applyBorder="1" applyAlignment="1">
      <alignment horizontal="left" vertical="top" wrapText="1"/>
    </xf>
    <xf numFmtId="0" fontId="7" fillId="0" borderId="18" xfId="3" applyFont="1" applyFill="1" applyBorder="1" applyAlignment="1" applyProtection="1">
      <alignment horizontal="left" vertical="top" wrapText="1"/>
      <protection locked="0"/>
    </xf>
    <xf numFmtId="1" fontId="66" fillId="0" borderId="21" xfId="3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2" applyFont="1" applyFill="1" applyBorder="1" applyAlignment="1">
      <alignment horizontal="center" vertical="center" wrapText="1"/>
    </xf>
    <xf numFmtId="1" fontId="67" fillId="0" borderId="21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14" xfId="3" applyFont="1" applyFill="1" applyBorder="1" applyAlignment="1">
      <alignment horizontal="left" vertical="top" wrapText="1"/>
    </xf>
    <xf numFmtId="0" fontId="7" fillId="0" borderId="15" xfId="3" applyFont="1" applyFill="1" applyBorder="1" applyAlignment="1" applyProtection="1">
      <alignment horizontal="left" vertical="top" wrapText="1"/>
      <protection locked="0"/>
    </xf>
    <xf numFmtId="1" fontId="66" fillId="0" borderId="17" xfId="3" applyNumberFormat="1" applyFont="1" applyFill="1" applyBorder="1" applyAlignment="1" applyProtection="1">
      <alignment horizontal="center" vertical="center" wrapText="1"/>
      <protection locked="0"/>
    </xf>
    <xf numFmtId="1" fontId="67" fillId="0" borderId="17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22" xfId="3" applyFont="1" applyFill="1" applyBorder="1" applyAlignment="1">
      <alignment horizontal="left" vertical="top" wrapText="1"/>
    </xf>
    <xf numFmtId="0" fontId="7" fillId="0" borderId="16" xfId="3" applyFont="1" applyFill="1" applyBorder="1" applyAlignment="1" applyProtection="1">
      <alignment horizontal="left" vertical="top" wrapText="1"/>
      <protection locked="0"/>
    </xf>
    <xf numFmtId="1" fontId="66" fillId="0" borderId="19" xfId="3" applyNumberFormat="1" applyFont="1" applyFill="1" applyBorder="1" applyAlignment="1" applyProtection="1">
      <alignment horizontal="center" vertical="center" wrapText="1"/>
      <protection locked="0"/>
    </xf>
    <xf numFmtId="1" fontId="67" fillId="0" borderId="19" xfId="3" applyNumberFormat="1" applyFont="1" applyFill="1" applyBorder="1" applyAlignment="1" applyProtection="1">
      <alignment horizontal="center" vertical="center" wrapText="1"/>
      <protection locked="0"/>
    </xf>
    <xf numFmtId="1" fontId="68" fillId="0" borderId="21" xfId="3" applyNumberFormat="1" applyFont="1" applyFill="1" applyBorder="1" applyAlignment="1" applyProtection="1">
      <alignment horizontal="center" vertical="center" wrapText="1"/>
      <protection locked="0"/>
    </xf>
    <xf numFmtId="1" fontId="68" fillId="0" borderId="17" xfId="3" applyNumberFormat="1" applyFont="1" applyFill="1" applyBorder="1" applyAlignment="1" applyProtection="1">
      <alignment horizontal="center" vertical="center" wrapText="1"/>
      <protection locked="0"/>
    </xf>
    <xf numFmtId="1" fontId="68" fillId="0" borderId="19" xfId="3" applyNumberFormat="1" applyFont="1" applyFill="1" applyBorder="1" applyAlignment="1" applyProtection="1">
      <alignment horizontal="center" vertical="center" wrapText="1"/>
      <protection locked="0"/>
    </xf>
    <xf numFmtId="0" fontId="2" fillId="8" borderId="17" xfId="0" applyFont="1" applyFill="1" applyBorder="1" applyAlignment="1" applyProtection="1">
      <alignment horizontal="center" vertical="center" wrapText="1"/>
      <protection locked="0"/>
    </xf>
    <xf numFmtId="0" fontId="2" fillId="12" borderId="17" xfId="0" applyFont="1" applyFill="1" applyBorder="1" applyAlignment="1" applyProtection="1">
      <alignment horizontal="center" vertical="center" wrapText="1"/>
      <protection locked="0"/>
    </xf>
    <xf numFmtId="0" fontId="2" fillId="7" borderId="17" xfId="0" applyFont="1" applyFill="1" applyBorder="1" applyAlignment="1" applyProtection="1">
      <alignment horizontal="center" vertical="center" wrapText="1"/>
      <protection locked="0"/>
    </xf>
    <xf numFmtId="0" fontId="2" fillId="12" borderId="19" xfId="0" applyFont="1" applyFill="1" applyBorder="1" applyAlignment="1" applyProtection="1">
      <alignment horizontal="center" vertical="center" wrapText="1"/>
      <protection locked="0"/>
    </xf>
    <xf numFmtId="1" fontId="16" fillId="0" borderId="15" xfId="0" applyNumberFormat="1" applyFont="1" applyBorder="1" applyAlignment="1" applyProtection="1">
      <alignment horizontal="center" vertical="center" wrapText="1"/>
      <protection locked="0"/>
    </xf>
    <xf numFmtId="1" fontId="16" fillId="0" borderId="16" xfId="0" applyNumberFormat="1" applyFont="1" applyBorder="1" applyAlignment="1" applyProtection="1">
      <alignment horizontal="center" vertical="center" wrapText="1"/>
      <protection locked="0"/>
    </xf>
    <xf numFmtId="0" fontId="54" fillId="23" borderId="20" xfId="0" applyFont="1" applyFill="1" applyBorder="1" applyAlignment="1">
      <alignment vertical="top" wrapText="1"/>
    </xf>
    <xf numFmtId="0" fontId="54" fillId="23" borderId="21" xfId="0" applyFont="1" applyFill="1" applyBorder="1" applyAlignment="1">
      <alignment vertical="top" wrapText="1"/>
    </xf>
    <xf numFmtId="0" fontId="54" fillId="23" borderId="18" xfId="0" applyFont="1" applyFill="1" applyBorder="1" applyAlignment="1">
      <alignment vertical="top" wrapText="1"/>
    </xf>
    <xf numFmtId="0" fontId="12" fillId="0" borderId="14" xfId="0" applyFont="1" applyBorder="1" applyAlignment="1" applyProtection="1">
      <alignment horizontal="center" vertical="top"/>
      <protection hidden="1"/>
    </xf>
    <xf numFmtId="0" fontId="0" fillId="0" borderId="17" xfId="0" applyBorder="1" applyProtection="1">
      <protection hidden="1"/>
    </xf>
    <xf numFmtId="0" fontId="0" fillId="0" borderId="15" xfId="0" applyBorder="1" applyProtection="1">
      <protection hidden="1"/>
    </xf>
    <xf numFmtId="0" fontId="29" fillId="0" borderId="14" xfId="0" applyFont="1" applyBorder="1" applyAlignment="1" applyProtection="1">
      <alignment horizontal="left" vertical="center" wrapText="1"/>
      <protection hidden="1"/>
    </xf>
    <xf numFmtId="49" fontId="0" fillId="0" borderId="15" xfId="0" applyNumberFormat="1" applyBorder="1" applyAlignment="1" applyProtection="1">
      <alignment vertical="center" wrapText="1"/>
      <protection locked="0"/>
    </xf>
    <xf numFmtId="0" fontId="29" fillId="0" borderId="15" xfId="0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left" vertical="center" wrapText="1"/>
      <protection hidden="1"/>
    </xf>
    <xf numFmtId="0" fontId="29" fillId="0" borderId="16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Protection="1">
      <protection hidden="1"/>
    </xf>
    <xf numFmtId="0" fontId="12" fillId="0" borderId="15" xfId="0" applyFont="1" applyBorder="1" applyAlignment="1" applyProtection="1">
      <alignment horizontal="center" vertical="top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0" fillId="0" borderId="16" xfId="0" applyBorder="1" applyProtection="1">
      <protection hidden="1"/>
    </xf>
    <xf numFmtId="0" fontId="2" fillId="0" borderId="20" xfId="0" applyFont="1" applyBorder="1" applyAlignment="1" applyProtection="1">
      <alignment horizontal="right" vertical="center"/>
      <protection hidden="1"/>
    </xf>
    <xf numFmtId="0" fontId="0" fillId="0" borderId="18" xfId="0" applyBorder="1" applyAlignment="1" applyProtection="1">
      <alignment vertical="center"/>
      <protection hidden="1"/>
    </xf>
    <xf numFmtId="0" fontId="0" fillId="0" borderId="18" xfId="0" applyBorder="1" applyAlignment="1" applyProtection="1">
      <alignment horizontal="left" vertical="center"/>
      <protection locked="0"/>
    </xf>
    <xf numFmtId="0" fontId="37" fillId="0" borderId="18" xfId="0" applyFont="1" applyBorder="1" applyAlignment="1" applyProtection="1">
      <alignment vertical="center"/>
      <protection locked="0"/>
    </xf>
    <xf numFmtId="0" fontId="10" fillId="0" borderId="21" xfId="0" applyFont="1" applyBorder="1" applyAlignment="1" applyProtection="1">
      <alignment vertical="center"/>
      <protection locked="0"/>
    </xf>
    <xf numFmtId="0" fontId="28" fillId="0" borderId="23" xfId="0" applyFont="1" applyBorder="1" applyAlignment="1" applyProtection="1">
      <alignment horizontal="left"/>
      <protection hidden="1"/>
    </xf>
    <xf numFmtId="0" fontId="0" fillId="0" borderId="23" xfId="0" applyBorder="1" applyProtection="1">
      <protection hidden="1"/>
    </xf>
    <xf numFmtId="0" fontId="22" fillId="0" borderId="23" xfId="0" applyFont="1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horizontal="left" vertical="center"/>
      <protection locked="0"/>
    </xf>
    <xf numFmtId="0" fontId="37" fillId="0" borderId="15" xfId="0" applyFont="1" applyBorder="1" applyAlignment="1" applyProtection="1">
      <alignment vertical="center"/>
      <protection locked="0"/>
    </xf>
    <xf numFmtId="0" fontId="10" fillId="0" borderId="17" xfId="0" applyFont="1" applyBorder="1" applyAlignment="1" applyProtection="1">
      <alignment vertical="center"/>
      <protection locked="0"/>
    </xf>
    <xf numFmtId="0" fontId="28" fillId="0" borderId="24" xfId="0" applyFont="1" applyBorder="1" applyAlignment="1" applyProtection="1">
      <alignment horizontal="left"/>
      <protection hidden="1"/>
    </xf>
    <xf numFmtId="0" fontId="0" fillId="0" borderId="24" xfId="0" applyBorder="1" applyProtection="1">
      <protection hidden="1"/>
    </xf>
    <xf numFmtId="0" fontId="22" fillId="0" borderId="24" xfId="0" applyFont="1" applyBorder="1" applyAlignment="1" applyProtection="1">
      <alignment horizontal="left" vertical="center"/>
      <protection locked="0"/>
    </xf>
    <xf numFmtId="0" fontId="22" fillId="0" borderId="15" xfId="0" applyFont="1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horizontal="left" vertical="center"/>
      <protection locked="0"/>
    </xf>
    <xf numFmtId="0" fontId="37" fillId="0" borderId="16" xfId="0" applyFont="1" applyBorder="1" applyAlignment="1" applyProtection="1">
      <alignment vertical="center"/>
      <protection locked="0"/>
    </xf>
    <xf numFmtId="0" fontId="10" fillId="0" borderId="19" xfId="0" applyFont="1" applyBorder="1" applyAlignment="1" applyProtection="1">
      <alignment vertical="center"/>
      <protection locked="0"/>
    </xf>
    <xf numFmtId="0" fontId="28" fillId="0" borderId="25" xfId="0" applyFont="1" applyBorder="1" applyAlignment="1" applyProtection="1">
      <alignment horizontal="left"/>
      <protection hidden="1"/>
    </xf>
    <xf numFmtId="0" fontId="0" fillId="0" borderId="25" xfId="0" applyBorder="1" applyProtection="1">
      <protection hidden="1"/>
    </xf>
    <xf numFmtId="0" fontId="22" fillId="0" borderId="25" xfId="0" applyFont="1" applyBorder="1" applyAlignment="1" applyProtection="1">
      <alignment horizontal="left" vertical="center"/>
      <protection locked="0"/>
    </xf>
    <xf numFmtId="0" fontId="7" fillId="0" borderId="1" xfId="0" applyFont="1" applyBorder="1" applyProtection="1">
      <protection hidden="1"/>
    </xf>
    <xf numFmtId="0" fontId="8" fillId="0" borderId="1" xfId="0" applyFont="1" applyBorder="1" applyAlignment="1" applyProtection="1">
      <alignment vertical="center"/>
      <protection hidden="1"/>
    </xf>
    <xf numFmtId="1" fontId="92" fillId="0" borderId="5" xfId="0" applyNumberFormat="1" applyFont="1" applyBorder="1" applyAlignment="1" applyProtection="1">
      <alignment horizontal="center" vertical="center" wrapText="1"/>
      <protection locked="0"/>
    </xf>
    <xf numFmtId="1" fontId="92" fillId="0" borderId="26" xfId="0" applyNumberFormat="1" applyFont="1" applyBorder="1" applyAlignment="1" applyProtection="1">
      <alignment horizontal="center" vertical="center" wrapText="1"/>
      <protection locked="0"/>
    </xf>
    <xf numFmtId="1" fontId="92" fillId="0" borderId="4" xfId="0" applyNumberFormat="1" applyFont="1" applyBorder="1" applyAlignment="1" applyProtection="1">
      <alignment horizontal="center" vertical="center" wrapText="1"/>
      <protection locked="0"/>
    </xf>
    <xf numFmtId="0" fontId="72" fillId="23" borderId="18" xfId="0" applyFont="1" applyFill="1" applyBorder="1" applyAlignment="1">
      <alignment vertical="top" wrapText="1"/>
    </xf>
    <xf numFmtId="0" fontId="0" fillId="16" borderId="14" xfId="0" applyFill="1" applyBorder="1" applyAlignment="1" applyProtection="1">
      <alignment horizontal="center" vertical="top"/>
      <protection hidden="1"/>
    </xf>
    <xf numFmtId="1" fontId="16" fillId="15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7" xfId="0" applyFont="1" applyFill="1" applyBorder="1" applyAlignment="1" applyProtection="1">
      <alignment horizontal="center" vertical="center" wrapText="1"/>
      <protection locked="0"/>
    </xf>
    <xf numFmtId="0" fontId="0" fillId="15" borderId="14" xfId="0" applyFill="1" applyBorder="1" applyAlignment="1" applyProtection="1">
      <alignment horizontal="center" vertical="top"/>
      <protection hidden="1"/>
    </xf>
    <xf numFmtId="0" fontId="0" fillId="21" borderId="15" xfId="0" applyFill="1" applyBorder="1" applyAlignment="1" applyProtection="1">
      <alignment horizontal="left" vertical="top" wrapText="1"/>
      <protection locked="0"/>
    </xf>
    <xf numFmtId="1" fontId="16" fillId="21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21" borderId="17" xfId="0" applyFont="1" applyFill="1" applyBorder="1" applyAlignment="1" applyProtection="1">
      <alignment horizontal="center" vertical="center" wrapText="1"/>
      <protection locked="0"/>
    </xf>
    <xf numFmtId="0" fontId="0" fillId="7" borderId="14" xfId="0" applyFill="1" applyBorder="1" applyAlignment="1" applyProtection="1">
      <alignment horizontal="center" vertical="top"/>
      <protection hidden="1"/>
    </xf>
    <xf numFmtId="0" fontId="0" fillId="7" borderId="15" xfId="0" applyFill="1" applyBorder="1" applyAlignment="1" applyProtection="1">
      <alignment horizontal="left" vertical="top" wrapText="1"/>
      <protection locked="0"/>
    </xf>
    <xf numFmtId="0" fontId="0" fillId="10" borderId="15" xfId="0" applyFill="1" applyBorder="1" applyAlignment="1" applyProtection="1">
      <alignment horizontal="left" vertical="top" wrapText="1"/>
      <protection locked="0"/>
    </xf>
    <xf numFmtId="1" fontId="16" fillId="10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17" xfId="0" applyFont="1" applyFill="1" applyBorder="1" applyAlignment="1" applyProtection="1">
      <alignment horizontal="center" vertical="center" wrapText="1"/>
      <protection locked="0"/>
    </xf>
    <xf numFmtId="0" fontId="0" fillId="12" borderId="14" xfId="0" applyFill="1" applyBorder="1" applyAlignment="1" applyProtection="1">
      <alignment horizontal="center" vertical="top"/>
      <protection hidden="1"/>
    </xf>
    <xf numFmtId="0" fontId="0" fillId="12" borderId="15" xfId="0" applyFill="1" applyBorder="1" applyAlignment="1" applyProtection="1">
      <alignment horizontal="left" vertical="top" wrapText="1"/>
      <protection locked="0"/>
    </xf>
    <xf numFmtId="1" fontId="16" fillId="20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20" borderId="17" xfId="0" applyFont="1" applyFill="1" applyBorder="1" applyAlignment="1" applyProtection="1">
      <alignment horizontal="center" vertical="center" wrapText="1"/>
      <protection locked="0"/>
    </xf>
    <xf numFmtId="0" fontId="0" fillId="21" borderId="14" xfId="0" applyFill="1" applyBorder="1" applyAlignment="1" applyProtection="1">
      <alignment horizontal="center" vertical="top"/>
      <protection hidden="1"/>
    </xf>
    <xf numFmtId="1" fontId="16" fillId="17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17" xfId="0" applyFont="1" applyFill="1" applyBorder="1" applyAlignment="1" applyProtection="1">
      <alignment horizontal="center" vertical="center" wrapText="1"/>
      <protection locked="0"/>
    </xf>
    <xf numFmtId="0" fontId="0" fillId="29" borderId="14" xfId="0" applyFill="1" applyBorder="1" applyAlignment="1" applyProtection="1">
      <alignment horizontal="center" vertical="top"/>
      <protection hidden="1"/>
    </xf>
    <xf numFmtId="0" fontId="0" fillId="29" borderId="15" xfId="0" applyFill="1" applyBorder="1" applyAlignment="1" applyProtection="1">
      <alignment horizontal="left" vertical="top" wrapText="1"/>
      <protection locked="0"/>
    </xf>
    <xf numFmtId="1" fontId="16" fillId="11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11" borderId="17" xfId="0" applyFont="1" applyFill="1" applyBorder="1" applyAlignment="1" applyProtection="1">
      <alignment horizontal="center" vertical="center" wrapText="1"/>
      <protection locked="0"/>
    </xf>
    <xf numFmtId="0" fontId="0" fillId="4" borderId="14" xfId="0" applyFill="1" applyBorder="1" applyAlignment="1" applyProtection="1">
      <alignment horizontal="center" vertical="top"/>
      <protection hidden="1"/>
    </xf>
    <xf numFmtId="1" fontId="16" fillId="6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17" xfId="0" applyFont="1" applyFill="1" applyBorder="1" applyAlignment="1" applyProtection="1">
      <alignment horizontal="center" vertical="center" wrapText="1"/>
      <protection locked="0"/>
    </xf>
    <xf numFmtId="0" fontId="29" fillId="20" borderId="14" xfId="0" applyFont="1" applyFill="1" applyBorder="1" applyAlignment="1" applyProtection="1">
      <alignment horizontal="center" vertical="top"/>
      <protection hidden="1"/>
    </xf>
    <xf numFmtId="0" fontId="29" fillId="20" borderId="15" xfId="0" applyFont="1" applyFill="1" applyBorder="1" applyAlignment="1" applyProtection="1">
      <alignment horizontal="left" vertical="top" wrapText="1"/>
      <protection locked="0"/>
    </xf>
    <xf numFmtId="0" fontId="29" fillId="26" borderId="15" xfId="0" applyFont="1" applyFill="1" applyBorder="1" applyAlignment="1" applyProtection="1">
      <alignment horizontal="left" vertical="top" wrapText="1"/>
      <protection locked="0"/>
    </xf>
    <xf numFmtId="1" fontId="16" fillId="26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26" borderId="15" xfId="0" applyFill="1" applyBorder="1" applyAlignment="1" applyProtection="1">
      <alignment horizontal="left" vertical="top" wrapText="1"/>
      <protection locked="0"/>
    </xf>
    <xf numFmtId="0" fontId="2" fillId="26" borderId="17" xfId="0" applyFont="1" applyFill="1" applyBorder="1" applyAlignment="1" applyProtection="1">
      <alignment horizontal="center" vertical="center" wrapText="1"/>
      <protection locked="0"/>
    </xf>
    <xf numFmtId="0" fontId="0" fillId="3" borderId="14" xfId="0" applyFill="1" applyBorder="1" applyAlignment="1" applyProtection="1">
      <alignment horizontal="center" vertical="top"/>
      <protection hidden="1"/>
    </xf>
    <xf numFmtId="0" fontId="0" fillId="24" borderId="15" xfId="0" applyFill="1" applyBorder="1" applyAlignment="1" applyProtection="1">
      <alignment horizontal="left" vertical="top" wrapText="1"/>
      <protection locked="0"/>
    </xf>
    <xf numFmtId="1" fontId="16" fillId="24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24" borderId="17" xfId="0" applyFont="1" applyFill="1" applyBorder="1" applyAlignment="1" applyProtection="1">
      <alignment horizontal="center" vertical="center" wrapText="1"/>
      <protection locked="0"/>
    </xf>
    <xf numFmtId="0" fontId="0" fillId="17" borderId="14" xfId="0" applyFill="1" applyBorder="1" applyAlignment="1" applyProtection="1">
      <alignment horizontal="center" vertical="top"/>
      <protection hidden="1"/>
    </xf>
    <xf numFmtId="0" fontId="0" fillId="6" borderId="14" xfId="0" applyFill="1" applyBorder="1" applyAlignment="1" applyProtection="1">
      <alignment horizontal="center" vertical="top"/>
      <protection hidden="1"/>
    </xf>
    <xf numFmtId="0" fontId="0" fillId="11" borderId="14" xfId="0" applyFill="1" applyBorder="1" applyAlignment="1" applyProtection="1">
      <alignment horizontal="center" vertical="top"/>
      <protection hidden="1"/>
    </xf>
    <xf numFmtId="0" fontId="0" fillId="31" borderId="14" xfId="0" applyFill="1" applyBorder="1" applyAlignment="1" applyProtection="1">
      <alignment horizontal="center" vertical="top"/>
      <protection hidden="1"/>
    </xf>
    <xf numFmtId="0" fontId="0" fillId="31" borderId="15" xfId="0" applyFill="1" applyBorder="1" applyAlignment="1" applyProtection="1">
      <alignment horizontal="left" vertical="top" wrapText="1"/>
      <protection locked="0"/>
    </xf>
    <xf numFmtId="0" fontId="0" fillId="30" borderId="14" xfId="0" applyFill="1" applyBorder="1" applyAlignment="1" applyProtection="1">
      <alignment horizontal="center" vertical="top"/>
      <protection hidden="1"/>
    </xf>
    <xf numFmtId="0" fontId="0" fillId="30" borderId="15" xfId="0" applyFill="1" applyBorder="1" applyAlignment="1" applyProtection="1">
      <alignment horizontal="left" vertical="top" wrapText="1"/>
      <protection locked="0"/>
    </xf>
    <xf numFmtId="0" fontId="0" fillId="19" borderId="22" xfId="0" applyFill="1" applyBorder="1" applyAlignment="1" applyProtection="1">
      <alignment horizontal="center" vertical="top"/>
      <protection hidden="1"/>
    </xf>
    <xf numFmtId="0" fontId="0" fillId="24" borderId="16" xfId="0" applyFill="1" applyBorder="1" applyAlignment="1" applyProtection="1">
      <alignment horizontal="left" vertical="top" wrapText="1"/>
      <protection locked="0"/>
    </xf>
    <xf numFmtId="1" fontId="16" fillId="24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24" borderId="19" xfId="0" applyFont="1" applyFill="1" applyBorder="1" applyAlignment="1" applyProtection="1">
      <alignment horizontal="center" vertical="center" wrapText="1"/>
      <protection locked="0"/>
    </xf>
    <xf numFmtId="0" fontId="82" fillId="0" borderId="0" xfId="0" applyFont="1" applyAlignment="1" applyProtection="1">
      <alignment horizontal="left" vertical="top" indent="3"/>
      <protection hidden="1"/>
    </xf>
    <xf numFmtId="0" fontId="0" fillId="0" borderId="29" xfId="10" applyFont="1" applyBorder="1" applyAlignment="1" applyProtection="1">
      <alignment vertical="top" wrapText="1"/>
      <protection locked="0"/>
    </xf>
    <xf numFmtId="0" fontId="0" fillId="0" borderId="29" xfId="10" applyFont="1" applyBorder="1" applyAlignment="1" applyProtection="1">
      <alignment horizontal="left" vertical="top" wrapText="1"/>
      <protection locked="0"/>
    </xf>
    <xf numFmtId="0" fontId="1" fillId="0" borderId="29" xfId="10" applyBorder="1" applyAlignment="1" applyProtection="1">
      <alignment horizontal="left" vertical="top" wrapText="1"/>
      <protection locked="0"/>
    </xf>
    <xf numFmtId="0" fontId="1" fillId="0" borderId="2" xfId="10" applyBorder="1" applyAlignment="1" applyProtection="1">
      <alignment horizontal="left" vertical="top" wrapText="1"/>
      <protection locked="0"/>
    </xf>
    <xf numFmtId="0" fontId="0" fillId="0" borderId="2" xfId="10" applyFont="1" applyBorder="1" applyAlignment="1" applyProtection="1">
      <alignment vertical="top" wrapText="1"/>
      <protection locked="0"/>
    </xf>
    <xf numFmtId="0" fontId="0" fillId="0" borderId="2" xfId="10" applyFont="1" applyBorder="1" applyAlignment="1" applyProtection="1">
      <alignment horizontal="left" vertical="top" wrapText="1"/>
      <protection locked="0"/>
    </xf>
    <xf numFmtId="0" fontId="42" fillId="25" borderId="15" xfId="9" applyFont="1" applyFill="1" applyBorder="1" applyAlignment="1" applyProtection="1">
      <alignment horizontal="left" vertical="top" wrapText="1"/>
      <protection locked="0"/>
    </xf>
    <xf numFmtId="0" fontId="0" fillId="0" borderId="0" xfId="10" applyFont="1" applyAlignment="1" applyProtection="1">
      <alignment vertical="top" wrapText="1"/>
      <protection locked="0"/>
    </xf>
    <xf numFmtId="0" fontId="41" fillId="17" borderId="29" xfId="10" applyFont="1" applyFill="1" applyBorder="1" applyAlignment="1" applyProtection="1">
      <alignment horizontal="center" vertical="top" wrapText="1"/>
      <protection locked="0"/>
    </xf>
    <xf numFmtId="0" fontId="14" fillId="17" borderId="3" xfId="10" applyFont="1" applyFill="1" applyBorder="1" applyAlignment="1" applyProtection="1">
      <alignment vertical="top" wrapText="1"/>
      <protection locked="0"/>
    </xf>
    <xf numFmtId="0" fontId="14" fillId="17" borderId="2" xfId="10" applyFont="1" applyFill="1" applyBorder="1" applyAlignment="1" applyProtection="1">
      <alignment vertical="top" wrapText="1"/>
      <protection locked="0"/>
    </xf>
    <xf numFmtId="0" fontId="30" fillId="25" borderId="15" xfId="10" applyFont="1" applyFill="1" applyBorder="1" applyAlignment="1" applyProtection="1">
      <alignment vertical="top" wrapText="1"/>
      <protection locked="0"/>
    </xf>
    <xf numFmtId="0" fontId="1" fillId="0" borderId="29" xfId="10" applyBorder="1" applyAlignment="1" applyProtection="1">
      <alignment vertical="top" wrapText="1"/>
      <protection locked="0"/>
    </xf>
    <xf numFmtId="0" fontId="1" fillId="0" borderId="2" xfId="10" applyBorder="1" applyAlignment="1" applyProtection="1">
      <alignment vertical="top" wrapText="1"/>
      <protection locked="0"/>
    </xf>
    <xf numFmtId="0" fontId="1" fillId="0" borderId="28" xfId="10" applyBorder="1" applyAlignment="1" applyProtection="1">
      <alignment vertical="top" wrapText="1"/>
      <protection locked="0"/>
    </xf>
    <xf numFmtId="0" fontId="1" fillId="0" borderId="0" xfId="10" applyAlignment="1" applyProtection="1">
      <alignment vertical="top" wrapText="1"/>
      <protection locked="0"/>
    </xf>
    <xf numFmtId="0" fontId="44" fillId="0" borderId="27" xfId="10" applyFont="1" applyBorder="1" applyAlignment="1" applyProtection="1">
      <alignment vertical="top" wrapText="1"/>
      <protection locked="0"/>
    </xf>
    <xf numFmtId="168" fontId="30" fillId="0" borderId="0" xfId="10" applyNumberFormat="1" applyFont="1" applyAlignment="1" applyProtection="1">
      <alignment vertical="top" wrapText="1"/>
      <protection hidden="1"/>
    </xf>
    <xf numFmtId="0" fontId="14" fillId="2" borderId="28" xfId="10" applyFont="1" applyFill="1" applyBorder="1" applyAlignment="1" applyProtection="1">
      <alignment vertical="top" wrapText="1"/>
      <protection locked="0"/>
    </xf>
    <xf numFmtId="0" fontId="44" fillId="24" borderId="3" xfId="10" applyFont="1" applyFill="1" applyBorder="1" applyAlignment="1" applyProtection="1">
      <alignment horizontal="center" vertical="top" wrapText="1"/>
      <protection locked="0"/>
    </xf>
    <xf numFmtId="0" fontId="14" fillId="2" borderId="3" xfId="10" applyFont="1" applyFill="1" applyBorder="1" applyAlignment="1" applyProtection="1">
      <alignment vertical="top" wrapText="1"/>
      <protection locked="0"/>
    </xf>
    <xf numFmtId="0" fontId="14" fillId="2" borderId="2" xfId="10" applyFont="1" applyFill="1" applyBorder="1" applyAlignment="1" applyProtection="1">
      <alignment vertical="top" wrapText="1"/>
      <protection locked="0"/>
    </xf>
    <xf numFmtId="0" fontId="48" fillId="24" borderId="3" xfId="10" applyFont="1" applyFill="1" applyBorder="1" applyAlignment="1" applyProtection="1">
      <alignment horizontal="center" vertical="top" wrapText="1"/>
      <protection locked="0"/>
    </xf>
    <xf numFmtId="14" fontId="30" fillId="0" borderId="0" xfId="10" applyNumberFormat="1" applyFont="1" applyAlignment="1" applyProtection="1">
      <alignment vertical="top" wrapText="1"/>
      <protection hidden="1"/>
    </xf>
    <xf numFmtId="0" fontId="45" fillId="25" borderId="27" xfId="10" applyFont="1" applyFill="1" applyBorder="1" applyAlignment="1" applyProtection="1">
      <alignment vertical="top" wrapText="1"/>
      <protection locked="0"/>
    </xf>
    <xf numFmtId="0" fontId="55" fillId="25" borderId="15" xfId="10" applyFont="1" applyFill="1" applyBorder="1" applyAlignment="1" applyProtection="1">
      <alignment vertical="top" wrapText="1"/>
      <protection locked="0"/>
    </xf>
    <xf numFmtId="0" fontId="30" fillId="0" borderId="0" xfId="10" applyFont="1" applyAlignment="1" applyProtection="1">
      <alignment vertical="top" wrapText="1"/>
      <protection locked="0"/>
    </xf>
    <xf numFmtId="168" fontId="55" fillId="0" borderId="0" xfId="10" applyNumberFormat="1" applyFont="1" applyAlignment="1" applyProtection="1">
      <alignment vertical="top" wrapText="1"/>
      <protection hidden="1"/>
    </xf>
    <xf numFmtId="0" fontId="1" fillId="2" borderId="29" xfId="10" applyFill="1" applyBorder="1" applyAlignment="1" applyProtection="1">
      <alignment vertical="top" wrapText="1"/>
      <protection locked="0"/>
    </xf>
    <xf numFmtId="0" fontId="44" fillId="0" borderId="3" xfId="10" applyFont="1" applyBorder="1" applyAlignment="1" applyProtection="1">
      <alignment vertical="top" wrapText="1"/>
      <protection locked="0"/>
    </xf>
    <xf numFmtId="0" fontId="30" fillId="0" borderId="29" xfId="10" applyFont="1" applyBorder="1" applyAlignment="1" applyProtection="1">
      <alignment vertical="top" wrapText="1"/>
      <protection locked="0"/>
    </xf>
    <xf numFmtId="0" fontId="30" fillId="0" borderId="0" xfId="10" applyFont="1" applyAlignment="1" applyProtection="1">
      <alignment vertical="top" wrapText="1"/>
      <protection hidden="1"/>
    </xf>
    <xf numFmtId="0" fontId="1" fillId="2" borderId="3" xfId="10" applyFill="1" applyBorder="1" applyAlignment="1" applyProtection="1">
      <alignment vertical="top" wrapText="1"/>
      <protection locked="0"/>
    </xf>
    <xf numFmtId="0" fontId="30" fillId="0" borderId="3" xfId="10" applyFont="1" applyBorder="1" applyAlignment="1" applyProtection="1">
      <alignment vertical="top" wrapText="1"/>
      <protection locked="0"/>
    </xf>
    <xf numFmtId="0" fontId="1" fillId="2" borderId="2" xfId="10" applyFill="1" applyBorder="1" applyAlignment="1" applyProtection="1">
      <alignment vertical="top" wrapText="1"/>
      <protection locked="0"/>
    </xf>
    <xf numFmtId="0" fontId="30" fillId="0" borderId="2" xfId="10" applyFont="1" applyBorder="1" applyAlignment="1" applyProtection="1">
      <alignment vertical="top" wrapText="1"/>
      <protection locked="0"/>
    </xf>
    <xf numFmtId="0" fontId="30" fillId="25" borderId="15" xfId="0" applyFont="1" applyFill="1" applyBorder="1" applyAlignment="1">
      <alignment vertical="top"/>
    </xf>
    <xf numFmtId="0" fontId="0" fillId="0" borderId="0" xfId="0" applyAlignment="1" applyProtection="1">
      <alignment vertical="top" wrapText="1"/>
      <protection locked="0"/>
    </xf>
    <xf numFmtId="0" fontId="44" fillId="0" borderId="0" xfId="10" applyFont="1" applyAlignment="1" applyProtection="1">
      <alignment vertical="top" wrapText="1"/>
      <protection locked="0"/>
    </xf>
    <xf numFmtId="0" fontId="1" fillId="33" borderId="3" xfId="10" applyFill="1" applyBorder="1" applyAlignment="1" applyProtection="1">
      <alignment vertical="top" wrapText="1"/>
      <protection locked="0"/>
    </xf>
    <xf numFmtId="0" fontId="1" fillId="2" borderId="28" xfId="10" applyFill="1" applyBorder="1" applyAlignment="1" applyProtection="1">
      <alignment vertical="top" wrapText="1"/>
      <protection locked="0"/>
    </xf>
    <xf numFmtId="0" fontId="30" fillId="0" borderId="28" xfId="10" applyFont="1" applyBorder="1" applyAlignment="1" applyProtection="1">
      <alignment vertical="top" wrapText="1"/>
      <protection locked="0"/>
    </xf>
    <xf numFmtId="0" fontId="44" fillId="0" borderId="27" xfId="10" applyFont="1" applyBorder="1" applyAlignment="1" applyProtection="1">
      <alignment horizontal="left" vertical="top" wrapText="1"/>
      <protection locked="0"/>
    </xf>
    <xf numFmtId="0" fontId="45" fillId="25" borderId="27" xfId="10" applyFont="1" applyFill="1" applyBorder="1" applyAlignment="1" applyProtection="1">
      <alignment horizontal="left" vertical="top" wrapText="1"/>
      <protection locked="0"/>
    </xf>
    <xf numFmtId="0" fontId="1" fillId="0" borderId="0" xfId="10" applyAlignment="1" applyProtection="1">
      <alignment horizontal="left" vertical="top" wrapText="1"/>
      <protection locked="0"/>
    </xf>
    <xf numFmtId="168" fontId="30" fillId="0" borderId="0" xfId="10" applyNumberFormat="1" applyFont="1" applyAlignment="1" applyProtection="1">
      <alignment horizontal="left" vertical="top" wrapText="1"/>
      <protection hidden="1"/>
    </xf>
    <xf numFmtId="0" fontId="1" fillId="2" borderId="29" xfId="10" applyFill="1" applyBorder="1" applyAlignment="1" applyProtection="1">
      <alignment horizontal="left" vertical="top" wrapText="1"/>
      <protection locked="0"/>
    </xf>
    <xf numFmtId="0" fontId="44" fillId="0" borderId="3" xfId="10" applyFont="1" applyBorder="1" applyAlignment="1" applyProtection="1">
      <alignment horizontal="left" vertical="top" wrapText="1"/>
      <protection locked="0"/>
    </xf>
    <xf numFmtId="0" fontId="1" fillId="2" borderId="3" xfId="10" applyFill="1" applyBorder="1" applyAlignment="1" applyProtection="1">
      <alignment horizontal="left" vertical="top" wrapText="1"/>
      <protection locked="0"/>
    </xf>
    <xf numFmtId="0" fontId="93" fillId="0" borderId="2" xfId="10" applyFont="1" applyBorder="1" applyAlignment="1" applyProtection="1">
      <alignment vertical="top" wrapText="1"/>
      <protection locked="0"/>
    </xf>
    <xf numFmtId="0" fontId="93" fillId="0" borderId="2" xfId="10" quotePrefix="1" applyFont="1" applyBorder="1" applyAlignment="1" applyProtection="1">
      <alignment vertical="top" wrapText="1"/>
      <protection locked="0"/>
    </xf>
    <xf numFmtId="9" fontId="11" fillId="0" borderId="1" xfId="0" applyNumberFormat="1" applyFont="1" applyBorder="1" applyAlignment="1" applyProtection="1">
      <alignment vertical="center"/>
      <protection hidden="1"/>
    </xf>
    <xf numFmtId="0" fontId="29" fillId="0" borderId="0" xfId="0" applyFont="1" applyProtection="1">
      <protection hidden="1"/>
    </xf>
    <xf numFmtId="0" fontId="7" fillId="8" borderId="0" xfId="0" applyFont="1" applyFill="1" applyAlignment="1" applyProtection="1">
      <alignment horizontal="left" vertical="top"/>
      <protection hidden="1"/>
    </xf>
    <xf numFmtId="0" fontId="51" fillId="8" borderId="0" xfId="0" applyFont="1" applyFill="1" applyAlignment="1" applyProtection="1">
      <alignment horizontal="left" vertical="top"/>
      <protection hidden="1"/>
    </xf>
    <xf numFmtId="0" fontId="2" fillId="8" borderId="0" xfId="0" applyFont="1" applyFill="1" applyAlignment="1" applyProtection="1">
      <alignment horizontal="left" vertical="top"/>
      <protection hidden="1"/>
    </xf>
    <xf numFmtId="0" fontId="7" fillId="8" borderId="0" xfId="0" applyFont="1" applyFill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94" fillId="0" borderId="0" xfId="0" applyFont="1" applyAlignment="1" applyProtection="1">
      <alignment horizontal="left" vertical="center"/>
      <protection hidden="1"/>
    </xf>
    <xf numFmtId="0" fontId="95" fillId="0" borderId="0" xfId="0" applyFont="1" applyAlignment="1" applyProtection="1">
      <alignment horizontal="right" vertical="center"/>
      <protection hidden="1"/>
    </xf>
    <xf numFmtId="3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51" fillId="0" borderId="0" xfId="0" applyFont="1" applyAlignment="1" applyProtection="1">
      <alignment horizontal="left" vertical="center"/>
      <protection hidden="1"/>
    </xf>
    <xf numFmtId="0" fontId="49" fillId="0" borderId="0" xfId="0" applyFont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73" fillId="0" borderId="0" xfId="0" applyFont="1" applyAlignment="1" applyProtection="1">
      <alignment horizontal="left" vertical="center"/>
      <protection hidden="1"/>
    </xf>
    <xf numFmtId="0" fontId="1" fillId="0" borderId="30" xfId="10" applyBorder="1" applyAlignment="1" applyProtection="1">
      <alignment vertical="center" wrapText="1"/>
      <protection locked="0"/>
    </xf>
    <xf numFmtId="0" fontId="0" fillId="0" borderId="30" xfId="10" applyFont="1" applyBorder="1" applyAlignment="1" applyProtection="1">
      <alignment vertical="center" wrapText="1"/>
      <protection locked="0"/>
    </xf>
    <xf numFmtId="0" fontId="96" fillId="0" borderId="0" xfId="0" applyFont="1" applyAlignment="1" applyProtection="1">
      <alignment vertical="center"/>
      <protection locked="0"/>
    </xf>
    <xf numFmtId="0" fontId="2" fillId="8" borderId="0" xfId="0" applyFont="1" applyFill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vertical="center"/>
      <protection locked="0"/>
    </xf>
    <xf numFmtId="9" fontId="51" fillId="0" borderId="15" xfId="0" applyNumberFormat="1" applyFont="1" applyBorder="1" applyAlignment="1" applyProtection="1">
      <alignment horizontal="right" vertical="center" wrapText="1"/>
      <protection hidden="1"/>
    </xf>
    <xf numFmtId="167" fontId="4" fillId="0" borderId="15" xfId="0" applyNumberFormat="1" applyFont="1" applyBorder="1" applyAlignment="1" applyProtection="1">
      <alignment horizontal="right" vertical="center" wrapText="1"/>
      <protection locked="0"/>
    </xf>
    <xf numFmtId="167" fontId="7" fillId="0" borderId="15" xfId="0" applyNumberFormat="1" applyFont="1" applyBorder="1" applyAlignment="1" applyProtection="1">
      <alignment horizontal="right" vertical="center" wrapText="1"/>
      <protection locked="0"/>
    </xf>
    <xf numFmtId="167" fontId="7" fillId="0" borderId="15" xfId="0" applyNumberFormat="1" applyFont="1" applyBorder="1" applyAlignment="1" applyProtection="1">
      <alignment horizontal="right" vertical="center"/>
      <protection locked="0"/>
    </xf>
    <xf numFmtId="9" fontId="51" fillId="0" borderId="15" xfId="0" applyNumberFormat="1" applyFont="1" applyBorder="1" applyAlignment="1" applyProtection="1">
      <alignment horizontal="center" vertical="center" wrapText="1"/>
      <protection hidden="1"/>
    </xf>
    <xf numFmtId="9" fontId="7" fillId="0" borderId="0" xfId="16" applyFont="1" applyAlignment="1" applyProtection="1">
      <alignment horizontal="left" vertical="center"/>
      <protection hidden="1"/>
    </xf>
    <xf numFmtId="9" fontId="7" fillId="0" borderId="15" xfId="16" applyFont="1" applyFill="1" applyBorder="1" applyAlignment="1" applyProtection="1">
      <alignment horizontal="right" vertical="center" wrapText="1"/>
      <protection hidden="1"/>
    </xf>
    <xf numFmtId="0" fontId="75" fillId="23" borderId="13" xfId="0" applyFont="1" applyFill="1" applyBorder="1" applyAlignment="1" applyProtection="1">
      <alignment horizontal="left" vertical="center"/>
      <protection hidden="1"/>
    </xf>
    <xf numFmtId="0" fontId="49" fillId="23" borderId="11" xfId="0" applyFont="1" applyFill="1" applyBorder="1" applyAlignment="1" applyProtection="1">
      <alignment horizontal="center" vertical="center" wrapText="1"/>
      <protection hidden="1"/>
    </xf>
    <xf numFmtId="0" fontId="54" fillId="23" borderId="11" xfId="0" applyFont="1" applyFill="1" applyBorder="1" applyAlignment="1" applyProtection="1">
      <alignment horizontal="center" vertical="center" wrapText="1"/>
      <protection hidden="1"/>
    </xf>
    <xf numFmtId="0" fontId="75" fillId="23" borderId="11" xfId="0" applyFont="1" applyFill="1" applyBorder="1" applyAlignment="1" applyProtection="1">
      <alignment horizontal="center" vertical="center"/>
      <protection hidden="1"/>
    </xf>
    <xf numFmtId="0" fontId="75" fillId="23" borderId="12" xfId="0" applyFont="1" applyFill="1" applyBorder="1" applyAlignment="1" applyProtection="1">
      <alignment horizontal="center" vertical="center"/>
      <protection hidden="1"/>
    </xf>
    <xf numFmtId="0" fontId="96" fillId="0" borderId="0" xfId="0" applyFont="1" applyAlignment="1" applyProtection="1">
      <alignment vertical="center"/>
      <protection hidden="1"/>
    </xf>
    <xf numFmtId="167" fontId="49" fillId="23" borderId="15" xfId="0" applyNumberFormat="1" applyFont="1" applyFill="1" applyBorder="1" applyAlignment="1" applyProtection="1">
      <alignment horizontal="right" vertical="center" wrapText="1"/>
      <protection hidden="1"/>
    </xf>
    <xf numFmtId="0" fontId="30" fillId="23" borderId="15" xfId="0" applyFont="1" applyFill="1" applyBorder="1" applyAlignment="1" applyProtection="1">
      <alignment vertical="center"/>
      <protection hidden="1"/>
    </xf>
    <xf numFmtId="9" fontId="49" fillId="23" borderId="15" xfId="16" applyFont="1" applyFill="1" applyBorder="1" applyAlignment="1" applyProtection="1">
      <alignment horizontal="right" vertical="center" wrapText="1"/>
      <protection hidden="1"/>
    </xf>
    <xf numFmtId="0" fontId="7" fillId="0" borderId="0" xfId="0" applyFont="1" applyAlignment="1" applyProtection="1">
      <alignment horizontal="left" vertical="center"/>
      <protection locked="0" hidden="1"/>
    </xf>
    <xf numFmtId="0" fontId="11" fillId="0" borderId="0" xfId="0" applyFont="1" applyProtection="1">
      <protection hidden="1"/>
    </xf>
    <xf numFmtId="0" fontId="90" fillId="23" borderId="11" xfId="0" applyFont="1" applyFill="1" applyBorder="1" applyAlignment="1" applyProtection="1">
      <alignment horizontal="center" vertical="center" wrapText="1"/>
      <protection hidden="1"/>
    </xf>
    <xf numFmtId="0" fontId="97" fillId="0" borderId="0" xfId="0" applyFont="1" applyAlignment="1" applyProtection="1">
      <alignment vertical="center"/>
      <protection locked="0"/>
    </xf>
    <xf numFmtId="0" fontId="0" fillId="0" borderId="28" xfId="10" applyFont="1" applyBorder="1" applyAlignment="1" applyProtection="1">
      <alignment vertical="top" wrapText="1"/>
      <protection locked="0"/>
    </xf>
    <xf numFmtId="0" fontId="98" fillId="25" borderId="0" xfId="9" applyFont="1" applyFill="1" applyAlignment="1" applyProtection="1">
      <alignment horizontal="left" vertical="top" wrapText="1"/>
      <protection locked="0"/>
    </xf>
    <xf numFmtId="0" fontId="24" fillId="0" borderId="27" xfId="10" applyFont="1" applyBorder="1" applyAlignment="1" applyProtection="1">
      <alignment horizontal="left" vertical="top" wrapText="1"/>
      <protection locked="0"/>
    </xf>
    <xf numFmtId="0" fontId="98" fillId="25" borderId="13" xfId="9" applyFont="1" applyFill="1" applyBorder="1" applyAlignment="1" applyProtection="1">
      <alignment horizontal="left" vertical="top" wrapText="1"/>
      <protection locked="0"/>
    </xf>
    <xf numFmtId="0" fontId="98" fillId="25" borderId="11" xfId="9" applyFont="1" applyFill="1" applyBorder="1" applyAlignment="1" applyProtection="1">
      <alignment horizontal="left" vertical="top" wrapText="1"/>
      <protection locked="0"/>
    </xf>
    <xf numFmtId="0" fontId="42" fillId="25" borderId="11" xfId="9" applyFont="1" applyFill="1" applyBorder="1" applyAlignment="1" applyProtection="1">
      <alignment horizontal="left" vertical="center" wrapText="1"/>
      <protection locked="0"/>
    </xf>
    <xf numFmtId="168" fontId="1" fillId="0" borderId="0" xfId="10" applyNumberFormat="1" applyAlignment="1" applyProtection="1">
      <alignment vertical="center" wrapText="1"/>
      <protection locked="0"/>
    </xf>
    <xf numFmtId="0" fontId="1" fillId="0" borderId="0" xfId="10" applyAlignment="1" applyProtection="1">
      <alignment vertical="center" wrapText="1"/>
      <protection locked="0"/>
    </xf>
    <xf numFmtId="0" fontId="24" fillId="2" borderId="29" xfId="10" applyFont="1" applyFill="1" applyBorder="1" applyAlignment="1" applyProtection="1">
      <alignment horizontal="left" vertical="top" wrapText="1"/>
      <protection locked="0"/>
    </xf>
    <xf numFmtId="0" fontId="24" fillId="0" borderId="3" xfId="10" applyFont="1" applyBorder="1" applyAlignment="1" applyProtection="1">
      <alignment horizontal="left" vertical="top" wrapText="1"/>
      <protection locked="0"/>
    </xf>
    <xf numFmtId="0" fontId="6" fillId="0" borderId="29" xfId="10" applyFont="1" applyBorder="1" applyAlignment="1" applyProtection="1">
      <alignment horizontal="left" vertical="top" wrapText="1"/>
      <protection locked="0"/>
    </xf>
    <xf numFmtId="0" fontId="24" fillId="0" borderId="29" xfId="10" applyFont="1" applyBorder="1" applyAlignment="1" applyProtection="1">
      <alignment horizontal="left" vertical="top" wrapText="1"/>
      <protection locked="0"/>
    </xf>
    <xf numFmtId="0" fontId="24" fillId="2" borderId="3" xfId="10" applyFont="1" applyFill="1" applyBorder="1" applyAlignment="1" applyProtection="1">
      <alignment horizontal="left" vertical="top" wrapText="1"/>
      <protection locked="0"/>
    </xf>
    <xf numFmtId="0" fontId="6" fillId="0" borderId="3" xfId="10" applyFont="1" applyBorder="1" applyAlignment="1" applyProtection="1">
      <alignment horizontal="left" vertical="top" wrapText="1"/>
      <protection locked="0"/>
    </xf>
    <xf numFmtId="0" fontId="24" fillId="2" borderId="2" xfId="10" applyFont="1" applyFill="1" applyBorder="1" applyAlignment="1" applyProtection="1">
      <alignment horizontal="left" vertical="top" wrapText="1"/>
      <protection locked="0"/>
    </xf>
    <xf numFmtId="0" fontId="6" fillId="0" borderId="2" xfId="10" applyFont="1" applyBorder="1" applyAlignment="1" applyProtection="1">
      <alignment horizontal="left" vertical="top" wrapText="1"/>
      <protection locked="0"/>
    </xf>
    <xf numFmtId="0" fontId="24" fillId="0" borderId="2" xfId="10" applyFont="1" applyBorder="1" applyAlignment="1" applyProtection="1">
      <alignment horizontal="left" vertical="top" wrapText="1"/>
      <protection locked="0"/>
    </xf>
    <xf numFmtId="0" fontId="31" fillId="0" borderId="1" xfId="10" applyFont="1" applyBorder="1" applyAlignment="1" applyProtection="1">
      <alignment vertical="center"/>
      <protection hidden="1"/>
    </xf>
    <xf numFmtId="0" fontId="11" fillId="0" borderId="1" xfId="10" applyFont="1" applyBorder="1" applyAlignment="1" applyProtection="1">
      <alignment vertical="center"/>
      <protection hidden="1"/>
    </xf>
    <xf numFmtId="0" fontId="97" fillId="0" borderId="1" xfId="0" applyFont="1" applyBorder="1" applyAlignment="1">
      <alignment horizontal="right" vertical="center"/>
    </xf>
    <xf numFmtId="0" fontId="8" fillId="0" borderId="0" xfId="10" applyFont="1" applyAlignment="1" applyProtection="1">
      <alignment vertical="center"/>
      <protection hidden="1"/>
    </xf>
    <xf numFmtId="0" fontId="7" fillId="0" borderId="0" xfId="10" applyFont="1" applyProtection="1">
      <protection hidden="1"/>
    </xf>
    <xf numFmtId="0" fontId="31" fillId="0" borderId="0" xfId="10" applyFont="1" applyAlignment="1" applyProtection="1">
      <alignment vertical="center"/>
      <protection locked="0" hidden="1"/>
    </xf>
    <xf numFmtId="0" fontId="11" fillId="0" borderId="0" xfId="10" applyFont="1" applyAlignment="1" applyProtection="1">
      <alignment vertical="center"/>
      <protection locked="0" hidden="1"/>
    </xf>
    <xf numFmtId="0" fontId="8" fillId="0" borderId="0" xfId="10" applyFont="1" applyAlignment="1" applyProtection="1">
      <alignment vertical="center"/>
      <protection locked="0" hidden="1"/>
    </xf>
    <xf numFmtId="0" fontId="7" fillId="0" borderId="0" xfId="10" applyFont="1" applyProtection="1">
      <protection locked="0" hidden="1"/>
    </xf>
    <xf numFmtId="0" fontId="1" fillId="0" borderId="0" xfId="10" applyProtection="1">
      <protection hidden="1"/>
    </xf>
    <xf numFmtId="0" fontId="74" fillId="0" borderId="0" xfId="10" applyFont="1" applyAlignment="1">
      <alignment horizontal="left" vertical="top"/>
    </xf>
    <xf numFmtId="0" fontId="1" fillId="0" borderId="0" xfId="10"/>
    <xf numFmtId="0" fontId="12" fillId="0" borderId="0" xfId="10" applyFont="1" applyAlignment="1">
      <alignment vertical="top" textRotation="90" shrinkToFit="1"/>
    </xf>
    <xf numFmtId="0" fontId="12" fillId="0" borderId="0" xfId="10" applyFont="1" applyAlignment="1">
      <alignment horizontal="center" vertical="top" textRotation="90" shrinkToFit="1"/>
    </xf>
    <xf numFmtId="0" fontId="32" fillId="23" borderId="0" xfId="10" applyFont="1" applyFill="1" applyAlignment="1">
      <alignment vertical="top"/>
    </xf>
    <xf numFmtId="0" fontId="19" fillId="18" borderId="20" xfId="10" applyFont="1" applyFill="1" applyBorder="1" applyAlignment="1">
      <alignment vertical="top" wrapText="1"/>
    </xf>
    <xf numFmtId="0" fontId="19" fillId="18" borderId="18" xfId="10" applyFont="1" applyFill="1" applyBorder="1" applyAlignment="1">
      <alignment vertical="top" wrapText="1"/>
    </xf>
    <xf numFmtId="0" fontId="4" fillId="18" borderId="21" xfId="10" applyFont="1" applyFill="1" applyBorder="1" applyAlignment="1">
      <alignment vertical="top" wrapText="1"/>
    </xf>
    <xf numFmtId="0" fontId="7" fillId="0" borderId="0" xfId="10" applyFont="1" applyAlignment="1">
      <alignment vertical="top"/>
    </xf>
    <xf numFmtId="0" fontId="7" fillId="0" borderId="14" xfId="10" applyFont="1" applyBorder="1" applyAlignment="1">
      <alignment horizontal="center" vertical="top"/>
    </xf>
    <xf numFmtId="0" fontId="7" fillId="0" borderId="15" xfId="10" applyFont="1" applyBorder="1" applyAlignment="1" applyProtection="1">
      <alignment horizontal="left" vertical="top" wrapText="1"/>
      <protection locked="0"/>
    </xf>
    <xf numFmtId="1" fontId="52" fillId="0" borderId="15" xfId="10" applyNumberFormat="1" applyFont="1" applyBorder="1" applyAlignment="1" applyProtection="1">
      <alignment horizontal="center" vertical="center" wrapText="1"/>
      <protection locked="0"/>
    </xf>
    <xf numFmtId="0" fontId="2" fillId="0" borderId="17" xfId="10" applyFont="1" applyBorder="1" applyAlignment="1" applyProtection="1">
      <alignment horizontal="center" vertical="center" wrapText="1"/>
      <protection locked="0"/>
    </xf>
    <xf numFmtId="0" fontId="7" fillId="0" borderId="0" xfId="10" applyFont="1"/>
    <xf numFmtId="0" fontId="23" fillId="0" borderId="0" xfId="10" applyFont="1"/>
    <xf numFmtId="0" fontId="32" fillId="23" borderId="20" xfId="10" applyFont="1" applyFill="1" applyBorder="1" applyAlignment="1">
      <alignment vertical="top"/>
    </xf>
    <xf numFmtId="0" fontId="32" fillId="23" borderId="18" xfId="10" applyFont="1" applyFill="1" applyBorder="1" applyAlignment="1">
      <alignment vertical="top"/>
    </xf>
    <xf numFmtId="0" fontId="32" fillId="23" borderId="21" xfId="10" applyFont="1" applyFill="1" applyBorder="1" applyAlignment="1">
      <alignment vertical="top"/>
    </xf>
    <xf numFmtId="0" fontId="19" fillId="18" borderId="14" xfId="10" applyFont="1" applyFill="1" applyBorder="1" applyAlignment="1">
      <alignment vertical="top" wrapText="1"/>
    </xf>
    <xf numFmtId="0" fontId="19" fillId="18" borderId="15" xfId="10" applyFont="1" applyFill="1" applyBorder="1" applyAlignment="1">
      <alignment vertical="top" wrapText="1"/>
    </xf>
    <xf numFmtId="0" fontId="4" fillId="18" borderId="17" xfId="10" applyFont="1" applyFill="1" applyBorder="1" applyAlignment="1">
      <alignment vertical="top" wrapText="1"/>
    </xf>
    <xf numFmtId="0" fontId="82" fillId="0" borderId="0" xfId="0" applyFont="1" applyAlignment="1" applyProtection="1">
      <alignment horizontal="left" vertical="center"/>
      <protection hidden="1"/>
    </xf>
    <xf numFmtId="0" fontId="99" fillId="23" borderId="11" xfId="0" applyFont="1" applyFill="1" applyBorder="1" applyAlignment="1" applyProtection="1">
      <alignment horizontal="center" vertical="center"/>
      <protection locked="0"/>
    </xf>
    <xf numFmtId="0" fontId="88" fillId="0" borderId="0" xfId="0" applyFont="1" applyAlignment="1" applyProtection="1">
      <alignment horizontal="right"/>
      <protection hidden="1"/>
    </xf>
    <xf numFmtId="0" fontId="0" fillId="0" borderId="0" xfId="0" applyAlignment="1">
      <alignment horizontal="left"/>
    </xf>
    <xf numFmtId="0" fontId="5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Protection="1">
      <protection locked="0"/>
    </xf>
    <xf numFmtId="49" fontId="5" fillId="7" borderId="17" xfId="0" applyNumberFormat="1" applyFont="1" applyFill="1" applyBorder="1" applyAlignment="1">
      <alignment horizontal="center" vertical="top"/>
    </xf>
    <xf numFmtId="0" fontId="0" fillId="0" borderId="3" xfId="10" applyFont="1" applyBorder="1" applyAlignment="1" applyProtection="1">
      <alignment horizontal="left" vertical="center" wrapText="1"/>
      <protection locked="0"/>
    </xf>
    <xf numFmtId="0" fontId="100" fillId="0" borderId="0" xfId="0" applyFont="1" applyAlignment="1" applyProtection="1">
      <alignment horizontal="right"/>
      <protection hidden="1"/>
    </xf>
    <xf numFmtId="0" fontId="101" fillId="0" borderId="1" xfId="10" applyFont="1" applyBorder="1" applyAlignment="1" applyProtection="1">
      <alignment vertical="center"/>
      <protection hidden="1"/>
    </xf>
    <xf numFmtId="0" fontId="28" fillId="8" borderId="1" xfId="10" applyFont="1" applyFill="1" applyBorder="1" applyAlignment="1" applyProtection="1">
      <alignment vertical="center"/>
      <protection hidden="1"/>
    </xf>
    <xf numFmtId="0" fontId="13" fillId="0" borderId="1" xfId="10" applyFont="1" applyBorder="1" applyAlignment="1" applyProtection="1">
      <alignment vertical="center"/>
      <protection hidden="1"/>
    </xf>
    <xf numFmtId="0" fontId="74" fillId="0" borderId="1" xfId="10" applyFont="1" applyBorder="1" applyAlignment="1" applyProtection="1">
      <alignment horizontal="right" vertical="center"/>
      <protection hidden="1"/>
    </xf>
    <xf numFmtId="0" fontId="12" fillId="0" borderId="0" xfId="10" applyFont="1" applyAlignment="1" applyProtection="1">
      <alignment vertical="top" textRotation="90" shrinkToFit="1"/>
      <protection hidden="1"/>
    </xf>
    <xf numFmtId="0" fontId="74" fillId="0" borderId="0" xfId="10" applyFont="1" applyAlignment="1" applyProtection="1">
      <alignment vertical="top"/>
      <protection hidden="1"/>
    </xf>
    <xf numFmtId="0" fontId="102" fillId="0" borderId="0" xfId="10" applyFont="1" applyAlignment="1" applyProtection="1">
      <alignment wrapText="1"/>
      <protection hidden="1"/>
    </xf>
    <xf numFmtId="0" fontId="82" fillId="0" borderId="0" xfId="10" applyFont="1" applyAlignment="1" applyProtection="1">
      <alignment vertical="top"/>
      <protection hidden="1"/>
    </xf>
    <xf numFmtId="0" fontId="1" fillId="0" borderId="0" xfId="10" applyAlignment="1" applyProtection="1">
      <alignment vertical="top"/>
      <protection hidden="1"/>
    </xf>
    <xf numFmtId="0" fontId="11" fillId="0" borderId="0" xfId="0" applyFont="1" applyAlignment="1" applyProtection="1">
      <alignment horizontal="left" vertical="center"/>
      <protection hidden="1"/>
    </xf>
    <xf numFmtId="0" fontId="97" fillId="0" borderId="0" xfId="0" applyFont="1" applyAlignment="1" applyProtection="1">
      <alignment horizontal="right" vertical="center"/>
      <protection locked="0"/>
    </xf>
    <xf numFmtId="0" fontId="31" fillId="0" borderId="1" xfId="18" applyFont="1" applyBorder="1" applyAlignment="1" applyProtection="1">
      <alignment vertical="center"/>
      <protection hidden="1"/>
    </xf>
    <xf numFmtId="0" fontId="11" fillId="0" borderId="1" xfId="18" applyFont="1" applyBorder="1" applyAlignment="1" applyProtection="1">
      <alignment horizontal="left" vertical="center"/>
      <protection hidden="1"/>
    </xf>
    <xf numFmtId="0" fontId="11" fillId="0" borderId="1" xfId="18" applyFont="1" applyBorder="1" applyAlignment="1" applyProtection="1">
      <alignment vertical="center"/>
      <protection hidden="1"/>
    </xf>
    <xf numFmtId="0" fontId="7" fillId="0" borderId="1" xfId="18" applyFont="1" applyBorder="1" applyProtection="1">
      <protection hidden="1"/>
    </xf>
    <xf numFmtId="0" fontId="13" fillId="0" borderId="1" xfId="18" applyFont="1" applyBorder="1" applyAlignment="1" applyProtection="1">
      <alignment vertical="center"/>
      <protection hidden="1"/>
    </xf>
    <xf numFmtId="0" fontId="8" fillId="0" borderId="1" xfId="18" applyFont="1" applyBorder="1" applyAlignment="1" applyProtection="1">
      <alignment vertical="center"/>
      <protection hidden="1"/>
    </xf>
    <xf numFmtId="0" fontId="8" fillId="0" borderId="0" xfId="18" applyFont="1" applyAlignment="1" applyProtection="1">
      <alignment vertical="center"/>
      <protection hidden="1"/>
    </xf>
    <xf numFmtId="0" fontId="7" fillId="0" borderId="0" xfId="18" applyFont="1" applyProtection="1">
      <protection hidden="1"/>
    </xf>
    <xf numFmtId="0" fontId="1" fillId="0" borderId="0" xfId="18" applyProtection="1">
      <protection hidden="1"/>
    </xf>
    <xf numFmtId="0" fontId="77" fillId="0" borderId="0" xfId="18" applyFont="1" applyAlignment="1" applyProtection="1">
      <alignment horizontal="left" vertical="center"/>
      <protection hidden="1"/>
    </xf>
    <xf numFmtId="0" fontId="74" fillId="0" borderId="0" xfId="18" applyFont="1" applyAlignment="1" applyProtection="1">
      <alignment vertical="top"/>
      <protection hidden="1"/>
    </xf>
    <xf numFmtId="0" fontId="2" fillId="0" borderId="0" xfId="18" applyFont="1" applyProtection="1">
      <protection hidden="1"/>
    </xf>
    <xf numFmtId="0" fontId="26" fillId="0" borderId="0" xfId="1" applyFont="1" applyAlignment="1" applyProtection="1">
      <protection hidden="1"/>
    </xf>
    <xf numFmtId="0" fontId="3" fillId="0" borderId="0" xfId="1" applyAlignment="1" applyProtection="1">
      <protection hidden="1"/>
    </xf>
    <xf numFmtId="0" fontId="104" fillId="0" borderId="0" xfId="18" applyFont="1"/>
    <xf numFmtId="0" fontId="1" fillId="0" borderId="0" xfId="18"/>
    <xf numFmtId="0" fontId="25" fillId="0" borderId="0" xfId="18" applyFont="1" applyProtection="1">
      <protection hidden="1"/>
    </xf>
    <xf numFmtId="0" fontId="74" fillId="0" borderId="1" xfId="18" applyFont="1" applyBorder="1" applyAlignment="1">
      <alignment horizontal="right" vertical="center"/>
    </xf>
    <xf numFmtId="0" fontId="6" fillId="0" borderId="0" xfId="4"/>
    <xf numFmtId="0" fontId="103" fillId="0" borderId="0" xfId="4" applyFont="1"/>
    <xf numFmtId="0" fontId="82" fillId="0" borderId="0" xfId="4" applyFont="1" applyAlignment="1">
      <alignment horizontal="left" vertical="top" indent="1"/>
    </xf>
    <xf numFmtId="0" fontId="97" fillId="0" borderId="0" xfId="0" applyFont="1" applyAlignment="1" applyProtection="1">
      <alignment vertical="center"/>
      <protection hidden="1"/>
    </xf>
    <xf numFmtId="0" fontId="98" fillId="33" borderId="13" xfId="9" applyFont="1" applyFill="1" applyBorder="1" applyAlignment="1" applyProtection="1">
      <alignment horizontal="left" vertical="top" wrapText="1"/>
      <protection locked="0"/>
    </xf>
    <xf numFmtId="0" fontId="6" fillId="33" borderId="3" xfId="10" applyFont="1" applyFill="1" applyBorder="1" applyAlignment="1" applyProtection="1">
      <alignment horizontal="left" vertical="top" wrapText="1"/>
      <protection locked="0"/>
    </xf>
    <xf numFmtId="0" fontId="0" fillId="42" borderId="0" xfId="0" applyFill="1"/>
    <xf numFmtId="0" fontId="30" fillId="42" borderId="0" xfId="0" applyFont="1" applyFill="1" applyAlignment="1">
      <alignment vertical="top"/>
    </xf>
    <xf numFmtId="0" fontId="9" fillId="0" borderId="0" xfId="0" applyFont="1" applyAlignment="1" applyProtection="1">
      <alignment horizontal="right" vertical="center"/>
      <protection locked="0"/>
    </xf>
    <xf numFmtId="0" fontId="7" fillId="2" borderId="2" xfId="10" applyFont="1" applyFill="1" applyBorder="1" applyAlignment="1" applyProtection="1">
      <alignment vertical="center" wrapText="1"/>
      <protection hidden="1"/>
    </xf>
    <xf numFmtId="0" fontId="7" fillId="0" borderId="31" xfId="10" applyFont="1" applyBorder="1" applyAlignment="1" applyProtection="1">
      <alignment vertical="center" wrapText="1"/>
      <protection hidden="1"/>
    </xf>
    <xf numFmtId="0" fontId="7" fillId="0" borderId="2" xfId="10" applyFont="1" applyBorder="1" applyAlignment="1" applyProtection="1">
      <alignment horizontal="left" vertical="top" wrapText="1"/>
      <protection hidden="1"/>
    </xf>
    <xf numFmtId="168" fontId="49" fillId="0" borderId="2" xfId="10" applyNumberFormat="1" applyFont="1" applyBorder="1" applyAlignment="1" applyProtection="1">
      <alignment vertical="center" wrapText="1"/>
      <protection hidden="1"/>
    </xf>
    <xf numFmtId="0" fontId="7" fillId="0" borderId="0" xfId="10" applyFont="1" applyAlignment="1" applyProtection="1">
      <alignment vertical="center" wrapText="1"/>
      <protection hidden="1"/>
    </xf>
    <xf numFmtId="0" fontId="105" fillId="0" borderId="0" xfId="10" applyFont="1" applyAlignment="1" applyProtection="1">
      <alignment vertical="center" wrapText="1"/>
      <protection hidden="1"/>
    </xf>
    <xf numFmtId="168" fontId="105" fillId="0" borderId="0" xfId="10" applyNumberFormat="1" applyFont="1" applyAlignment="1" applyProtection="1">
      <alignment vertical="center" wrapText="1"/>
      <protection hidden="1"/>
    </xf>
    <xf numFmtId="0" fontId="97" fillId="0" borderId="1" xfId="0" applyFont="1" applyBorder="1" applyAlignment="1" applyProtection="1">
      <alignment horizontal="right" vertical="center"/>
      <protection locked="0"/>
    </xf>
    <xf numFmtId="0" fontId="53" fillId="0" borderId="0" xfId="1" applyFont="1" applyFill="1" applyBorder="1" applyAlignment="1" applyProtection="1">
      <alignment horizontal="left" textRotation="90"/>
      <protection hidden="1"/>
    </xf>
    <xf numFmtId="0" fontId="7" fillId="11" borderId="15" xfId="0" applyFont="1" applyFill="1" applyBorder="1" applyAlignment="1" applyProtection="1">
      <alignment horizontal="center" vertical="top" wrapText="1"/>
      <protection locked="0"/>
    </xf>
    <xf numFmtId="9" fontId="7" fillId="11" borderId="15" xfId="0" applyNumberFormat="1" applyFont="1" applyFill="1" applyBorder="1" applyAlignment="1">
      <alignment horizontal="center" vertical="top" wrapText="1"/>
    </xf>
    <xf numFmtId="9" fontId="7" fillId="20" borderId="15" xfId="0" applyNumberFormat="1" applyFont="1" applyFill="1" applyBorder="1" applyAlignment="1" applyProtection="1">
      <alignment horizontal="center" vertical="top" wrapText="1"/>
      <protection locked="0"/>
    </xf>
    <xf numFmtId="0" fontId="7" fillId="20" borderId="15" xfId="0" applyFont="1" applyFill="1" applyBorder="1" applyAlignment="1" applyProtection="1">
      <alignment horizontal="center" vertical="top" wrapText="1"/>
      <protection locked="0"/>
    </xf>
    <xf numFmtId="9" fontId="7" fillId="10" borderId="15" xfId="0" applyNumberFormat="1" applyFont="1" applyFill="1" applyBorder="1" applyAlignment="1" applyProtection="1">
      <alignment horizontal="center" vertical="top" wrapText="1"/>
      <protection locked="0"/>
    </xf>
    <xf numFmtId="0" fontId="7" fillId="10" borderId="15" xfId="0" applyFont="1" applyFill="1" applyBorder="1" applyAlignment="1" applyProtection="1">
      <alignment horizontal="center" vertical="top" wrapText="1"/>
      <protection locked="0"/>
    </xf>
    <xf numFmtId="0" fontId="5" fillId="12" borderId="15" xfId="0" applyFont="1" applyFill="1" applyBorder="1" applyAlignment="1">
      <alignment horizontal="center" vertical="top"/>
    </xf>
    <xf numFmtId="0" fontId="22" fillId="11" borderId="16" xfId="0" applyFont="1" applyFill="1" applyBorder="1" applyAlignment="1" applyProtection="1">
      <alignment horizontal="left" vertical="top" wrapText="1"/>
      <protection locked="0"/>
    </xf>
    <xf numFmtId="0" fontId="22" fillId="11" borderId="18" xfId="0" applyFont="1" applyFill="1" applyBorder="1" applyAlignment="1" applyProtection="1">
      <alignment horizontal="left" vertical="top" wrapText="1"/>
      <protection locked="0"/>
    </xf>
    <xf numFmtId="0" fontId="7" fillId="11" borderId="14" xfId="0" applyFont="1" applyFill="1" applyBorder="1" applyAlignment="1" applyProtection="1">
      <alignment horizontal="center" vertical="top" wrapText="1"/>
      <protection locked="0"/>
    </xf>
    <xf numFmtId="0" fontId="7" fillId="11" borderId="14" xfId="0" applyFont="1" applyFill="1" applyBorder="1" applyAlignment="1" applyProtection="1">
      <alignment vertical="top"/>
      <protection locked="0"/>
    </xf>
    <xf numFmtId="0" fontId="2" fillId="11" borderId="15" xfId="0" applyFont="1" applyFill="1" applyBorder="1" applyAlignment="1">
      <alignment horizontal="center" vertical="top" wrapText="1"/>
    </xf>
    <xf numFmtId="0" fontId="7" fillId="11" borderId="15" xfId="0" applyFont="1" applyFill="1" applyBorder="1" applyAlignment="1">
      <alignment horizontal="center" vertical="top" wrapText="1"/>
    </xf>
    <xf numFmtId="0" fontId="7" fillId="6" borderId="14" xfId="0" applyFont="1" applyFill="1" applyBorder="1" applyAlignment="1" applyProtection="1">
      <alignment horizontal="left" vertical="top" wrapText="1"/>
      <protection locked="0"/>
    </xf>
    <xf numFmtId="0" fontId="5" fillId="7" borderId="16" xfId="0" applyFont="1" applyFill="1" applyBorder="1" applyAlignment="1">
      <alignment horizontal="center" vertical="top"/>
    </xf>
    <xf numFmtId="0" fontId="5" fillId="7" borderId="18" xfId="0" applyFont="1" applyFill="1" applyBorder="1" applyAlignment="1">
      <alignment horizontal="center" vertical="top"/>
    </xf>
    <xf numFmtId="0" fontId="22" fillId="11" borderId="15" xfId="0" applyFont="1" applyFill="1" applyBorder="1" applyAlignment="1" applyProtection="1">
      <alignment horizontal="left" vertical="top" wrapText="1"/>
      <protection locked="0"/>
    </xf>
    <xf numFmtId="0" fontId="7" fillId="6" borderId="14" xfId="0" applyFont="1" applyFill="1" applyBorder="1" applyAlignment="1" applyProtection="1">
      <alignment horizontal="center" vertical="top" wrapText="1"/>
      <protection locked="0"/>
    </xf>
    <xf numFmtId="0" fontId="7" fillId="6" borderId="14" xfId="0" applyFont="1" applyFill="1" applyBorder="1" applyAlignment="1" applyProtection="1">
      <alignment vertical="top"/>
      <protection locked="0"/>
    </xf>
    <xf numFmtId="0" fontId="7" fillId="6" borderId="15" xfId="0" applyFont="1" applyFill="1" applyBorder="1" applyAlignment="1" applyProtection="1">
      <alignment horizontal="center" vertical="top" wrapText="1"/>
      <protection locked="0"/>
    </xf>
    <xf numFmtId="9" fontId="7" fillId="6" borderId="15" xfId="0" applyNumberFormat="1" applyFont="1" applyFill="1" applyBorder="1" applyAlignment="1">
      <alignment horizontal="center" vertical="top" wrapText="1"/>
    </xf>
    <xf numFmtId="0" fontId="7" fillId="11" borderId="14" xfId="0" applyFont="1" applyFill="1" applyBorder="1" applyAlignment="1" applyProtection="1">
      <alignment horizontal="left" vertical="top" wrapText="1"/>
      <protection locked="0"/>
    </xf>
    <xf numFmtId="0" fontId="5" fillId="12" borderId="16" xfId="0" applyFont="1" applyFill="1" applyBorder="1" applyAlignment="1">
      <alignment horizontal="center" vertical="top"/>
    </xf>
    <xf numFmtId="0" fontId="5" fillId="12" borderId="18" xfId="0" applyFont="1" applyFill="1" applyBorder="1" applyAlignment="1">
      <alignment horizontal="center" vertical="top"/>
    </xf>
    <xf numFmtId="0" fontId="22" fillId="6" borderId="15" xfId="0" quotePrefix="1" applyFont="1" applyFill="1" applyBorder="1" applyAlignment="1" applyProtection="1">
      <alignment horizontal="left" vertical="top" wrapText="1"/>
      <protection locked="0"/>
    </xf>
    <xf numFmtId="0" fontId="22" fillId="6" borderId="15" xfId="0" applyFont="1" applyFill="1" applyBorder="1" applyAlignment="1" applyProtection="1">
      <alignment horizontal="left" vertical="top" wrapText="1"/>
      <protection locked="0"/>
    </xf>
    <xf numFmtId="0" fontId="22" fillId="11" borderId="15" xfId="0" quotePrefix="1" applyFont="1" applyFill="1" applyBorder="1" applyAlignment="1" applyProtection="1">
      <alignment horizontal="left" vertical="top" wrapText="1"/>
      <protection locked="0"/>
    </xf>
    <xf numFmtId="9" fontId="7" fillId="4" borderId="15" xfId="0" applyNumberFormat="1" applyFont="1" applyFill="1" applyBorder="1" applyAlignment="1" applyProtection="1">
      <alignment horizontal="center" vertical="top" wrapText="1"/>
      <protection locked="0"/>
    </xf>
    <xf numFmtId="0" fontId="7" fillId="4" borderId="15" xfId="0" applyFont="1" applyFill="1" applyBorder="1" applyAlignment="1" applyProtection="1">
      <alignment horizontal="center" vertical="top" wrapText="1"/>
      <protection locked="0"/>
    </xf>
    <xf numFmtId="9" fontId="7" fillId="2" borderId="15" xfId="0" applyNumberFormat="1" applyFont="1" applyFill="1" applyBorder="1" applyAlignment="1" applyProtection="1">
      <alignment horizontal="center" vertical="top" wrapText="1"/>
      <protection locked="0"/>
    </xf>
    <xf numFmtId="0" fontId="7" fillId="2" borderId="15" xfId="0" applyFont="1" applyFill="1" applyBorder="1" applyAlignment="1" applyProtection="1">
      <alignment horizontal="center" vertical="top" wrapText="1"/>
      <protection locked="0"/>
    </xf>
    <xf numFmtId="0" fontId="2" fillId="6" borderId="15" xfId="0" applyFont="1" applyFill="1" applyBorder="1" applyAlignment="1">
      <alignment horizontal="center" vertical="top" wrapText="1"/>
    </xf>
    <xf numFmtId="0" fontId="7" fillId="6" borderId="15" xfId="0" applyFont="1" applyFill="1" applyBorder="1" applyAlignment="1">
      <alignment horizontal="center" vertical="top" wrapText="1"/>
    </xf>
    <xf numFmtId="0" fontId="22" fillId="6" borderId="16" xfId="0" applyFont="1" applyFill="1" applyBorder="1" applyAlignment="1" applyProtection="1">
      <alignment horizontal="left" vertical="top" wrapText="1"/>
      <protection locked="0"/>
    </xf>
    <xf numFmtId="0" fontId="22" fillId="6" borderId="18" xfId="0" applyFont="1" applyFill="1" applyBorder="1" applyAlignment="1" applyProtection="1">
      <alignment horizontal="left" vertical="top" wrapText="1"/>
      <protection locked="0"/>
    </xf>
    <xf numFmtId="0" fontId="0" fillId="0" borderId="0" xfId="0" quotePrefix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106" fillId="0" borderId="1" xfId="0" applyFont="1" applyBorder="1" applyAlignment="1" applyProtection="1">
      <alignment horizontal="left" vertical="center"/>
      <protection hidden="1"/>
    </xf>
  </cellXfs>
  <cellStyles count="44">
    <cellStyle name="20 % - Akzent3" xfId="17" builtinId="38"/>
    <cellStyle name="40 % - Akzent3" xfId="2" builtinId="39"/>
    <cellStyle name="40 % - Akzent4" xfId="3" builtinId="43"/>
    <cellStyle name="Euro" xfId="13" xr:uid="{00000000-0005-0000-0000-000003000000}"/>
    <cellStyle name="Hyperlink 2" xfId="5" xr:uid="{00000000-0005-0000-0000-000005000000}"/>
    <cellStyle name="Hyperlink 3" xfId="8" xr:uid="{00000000-0005-0000-0000-000006000000}"/>
    <cellStyle name="Hyperlink 4" xfId="11" xr:uid="{00000000-0005-0000-0000-000007000000}"/>
    <cellStyle name="Komma 2" xfId="6" xr:uid="{00000000-0005-0000-0000-000008000000}"/>
    <cellStyle name="Komma 3" xfId="19" xr:uid="{00000000-0005-0000-0000-000009000000}"/>
    <cellStyle name="Komma 3 2" xfId="20" xr:uid="{00000000-0005-0000-0000-00000A000000}"/>
    <cellStyle name="Link" xfId="1" builtinId="8"/>
    <cellStyle name="Link 2" xfId="21" xr:uid="{00000000-0005-0000-0000-00000B000000}"/>
    <cellStyle name="Normal 2" xfId="7" xr:uid="{00000000-0005-0000-0000-00000D000000}"/>
    <cellStyle name="Prozent" xfId="16" builtinId="5"/>
    <cellStyle name="Prozent 2" xfId="15" xr:uid="{00000000-0005-0000-0000-00000F000000}"/>
    <cellStyle name="Prozent 3" xfId="22" xr:uid="{00000000-0005-0000-0000-000010000000}"/>
    <cellStyle name="Standard" xfId="0" builtinId="0"/>
    <cellStyle name="Standard 10" xfId="18" xr:uid="{00000000-0005-0000-0000-000011000000}"/>
    <cellStyle name="Standard 10 2" xfId="23" xr:uid="{00000000-0005-0000-0000-000012000000}"/>
    <cellStyle name="Standard 11" xfId="24" xr:uid="{00000000-0005-0000-0000-000013000000}"/>
    <cellStyle name="Standard 12" xfId="25" xr:uid="{00000000-0005-0000-0000-000014000000}"/>
    <cellStyle name="Standard 13" xfId="26" xr:uid="{00000000-0005-0000-0000-000015000000}"/>
    <cellStyle name="Standard 14" xfId="27" xr:uid="{00000000-0005-0000-0000-000016000000}"/>
    <cellStyle name="Standard 15" xfId="28" xr:uid="{00000000-0005-0000-0000-000017000000}"/>
    <cellStyle name="Standard 15 2" xfId="29" xr:uid="{00000000-0005-0000-0000-000018000000}"/>
    <cellStyle name="Standard 16" xfId="30" xr:uid="{00000000-0005-0000-0000-000019000000}"/>
    <cellStyle name="Standard 17" xfId="31" xr:uid="{00000000-0005-0000-0000-00001A000000}"/>
    <cellStyle name="Standard 18" xfId="32" xr:uid="{00000000-0005-0000-0000-00001B000000}"/>
    <cellStyle name="Standard 19" xfId="33" xr:uid="{00000000-0005-0000-0000-00001C000000}"/>
    <cellStyle name="Standard 2" xfId="4" xr:uid="{00000000-0005-0000-0000-00001D000000}"/>
    <cellStyle name="Standard 3" xfId="9" xr:uid="{00000000-0005-0000-0000-00001E000000}"/>
    <cellStyle name="Standard 3 2" xfId="10" xr:uid="{00000000-0005-0000-0000-00001F000000}"/>
    <cellStyle name="Standard 3 2 2" xfId="34" xr:uid="{00000000-0005-0000-0000-000020000000}"/>
    <cellStyle name="Standard 3 2 3" xfId="35" xr:uid="{00000000-0005-0000-0000-000021000000}"/>
    <cellStyle name="Standard 4" xfId="12" xr:uid="{00000000-0005-0000-0000-000022000000}"/>
    <cellStyle name="Standard 5" xfId="36" xr:uid="{00000000-0005-0000-0000-000023000000}"/>
    <cellStyle name="Standard 6" xfId="37" xr:uid="{00000000-0005-0000-0000-000024000000}"/>
    <cellStyle name="Standard 6 2" xfId="38" xr:uid="{00000000-0005-0000-0000-000025000000}"/>
    <cellStyle name="Standard 7" xfId="39" xr:uid="{00000000-0005-0000-0000-000026000000}"/>
    <cellStyle name="Standard 8" xfId="40" xr:uid="{00000000-0005-0000-0000-000027000000}"/>
    <cellStyle name="Standard 9" xfId="41" xr:uid="{00000000-0005-0000-0000-000028000000}"/>
    <cellStyle name="Standard 9 2" xfId="42" xr:uid="{00000000-0005-0000-0000-000029000000}"/>
    <cellStyle name="Währung 2" xfId="14" xr:uid="{00000000-0005-0000-0000-00002A000000}"/>
    <cellStyle name="Währung 3" xfId="43" xr:uid="{00000000-0005-0000-0000-00002B000000}"/>
  </cellStyles>
  <dxfs count="93"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6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C99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006600"/>
      <color rgb="FF9933FF"/>
      <color rgb="FFFFFF99"/>
      <color rgb="FF339966"/>
      <color rgb="FF003300"/>
      <color rgb="FFCC0000"/>
      <color rgb="FFFFCC00"/>
      <color rgb="FFFFCC66"/>
      <color rgb="FF00469B"/>
      <color rgb="FF739B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988473156183941E-2"/>
          <c:y val="1.8661835657191927E-2"/>
          <c:w val="0.8940788423344892"/>
          <c:h val="0.93655514293398667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0BF2-492A-8B04-41D1DB0C7FA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0BF2-492A-8B04-41D1DB0C7FA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BF2-492A-8B04-41D1DB0C7FA1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0BF2-492A-8B04-41D1DB0C7FA1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0BF2-492A-8B04-41D1DB0C7FA1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0BF2-492A-8B04-41D1DB0C7FA1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0BF2-492A-8B04-41D1DB0C7FA1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0BF2-492A-8B04-41D1DB0C7FA1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0BF2-492A-8B04-41D1DB0C7FA1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0BF2-492A-8B04-41D1DB0C7FA1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0BF2-492A-8B04-41D1DB0C7FA1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0BF2-492A-8B04-41D1DB0C7FA1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0BF2-492A-8B04-41D1DB0C7FA1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0BF2-492A-8B04-41D1DB0C7FA1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0BF2-492A-8B04-41D1DB0C7FA1}"/>
              </c:ext>
            </c:extLst>
          </c:dPt>
          <c:dLbls>
            <c:dLbl>
              <c:idx val="0"/>
              <c:layout>
                <c:manualLayout>
                  <c:x val="-0.12115817547764009"/>
                  <c:y val="0"/>
                </c:manualLayout>
              </c:layout>
              <c:tx>
                <c:strRef>
                  <c:f>Stakeholder!$B$5</c:f>
                  <c:strCache>
                    <c:ptCount val="1"/>
                    <c:pt idx="0">
                      <c:v>s1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{7E125231-0BEB-4840-8935-85F89035B2DA}</c15:txfldGUID>
                      <c15:f>Stakeholder!$B$5</c15:f>
                      <c15:dlblFieldTableCache>
                        <c:ptCount val="1"/>
                        <c:pt idx="0">
                          <c:v>s1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0BF2-492A-8B04-41D1DB0C7FA1}"/>
                </c:ext>
              </c:extLst>
            </c:dLbl>
            <c:dLbl>
              <c:idx val="1"/>
              <c:layout>
                <c:manualLayout>
                  <c:x val="-0.1154842611424285"/>
                  <c:y val="0"/>
                </c:manualLayout>
              </c:layout>
              <c:tx>
                <c:strRef>
                  <c:f>Stakeholder!$B$6</c:f>
                  <c:strCache>
                    <c:ptCount val="1"/>
                    <c:pt idx="0">
                      <c:v>s2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{84D124D4-6B2A-400D-B07B-0A93CD7AC8AC}</c15:txfldGUID>
                      <c15:f>Stakeholder!$B$6</c15:f>
                      <c15:dlblFieldTableCache>
                        <c:ptCount val="1"/>
                        <c:pt idx="0">
                          <c:v>s2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0BF2-492A-8B04-41D1DB0C7FA1}"/>
                </c:ext>
              </c:extLst>
            </c:dLbl>
            <c:dLbl>
              <c:idx val="2"/>
              <c:layout>
                <c:manualLayout>
                  <c:x val="-0.13897813845274293"/>
                  <c:y val="1.0499622265317761E-2"/>
                </c:manualLayout>
              </c:layout>
              <c:tx>
                <c:strRef>
                  <c:f>Stakeholder!$B$7</c:f>
                  <c:strCache>
                    <c:ptCount val="1"/>
                    <c:pt idx="0">
                      <c:v>s3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{EEC91D1F-0BF4-4948-BB11-EDB5641812D7}</c15:txfldGUID>
                      <c15:f>Stakeholder!$B$7</c15:f>
                      <c15:dlblFieldTableCache>
                        <c:ptCount val="1"/>
                        <c:pt idx="0">
                          <c:v>s3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0BF2-492A-8B04-41D1DB0C7FA1}"/>
                </c:ext>
              </c:extLst>
            </c:dLbl>
            <c:dLbl>
              <c:idx val="3"/>
              <c:layout>
                <c:manualLayout>
                  <c:x val="-9.0939443846193138E-2"/>
                  <c:y val="-2.5517730165035011E-3"/>
                </c:manualLayout>
              </c:layout>
              <c:tx>
                <c:strRef>
                  <c:f>Stakeholder!$B$8</c:f>
                  <c:strCache>
                    <c:ptCount val="1"/>
                    <c:pt idx="0">
                      <c:v>s4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{006A5A26-699C-4945-8040-E4E8F5E3F2D1}</c15:txfldGUID>
                      <c15:f>Stakeholder!$B$8</c15:f>
                      <c15:dlblFieldTableCache>
                        <c:ptCount val="1"/>
                        <c:pt idx="0">
                          <c:v>s4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0BF2-492A-8B04-41D1DB0C7FA1}"/>
                </c:ext>
              </c:extLst>
            </c:dLbl>
            <c:dLbl>
              <c:idx val="4"/>
              <c:layout>
                <c:manualLayout>
                  <c:x val="-0.12287509302017695"/>
                  <c:y val="1.3952662445384238E-2"/>
                </c:manualLayout>
              </c:layout>
              <c:tx>
                <c:strRef>
                  <c:f>Stakeholder!$B$9</c:f>
                  <c:strCache>
                    <c:ptCount val="1"/>
                    <c:pt idx="0">
                      <c:v>s5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{016A9E58-C7B6-442E-9181-DF43A17A5D50}</c15:txfldGUID>
                      <c15:f>Stakeholder!$B$9</c15:f>
                      <c15:dlblFieldTableCache>
                        <c:ptCount val="1"/>
                        <c:pt idx="0">
                          <c:v>s5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0BF2-492A-8B04-41D1DB0C7FA1}"/>
                </c:ext>
              </c:extLst>
            </c:dLbl>
            <c:dLbl>
              <c:idx val="5"/>
              <c:layout>
                <c:manualLayout>
                  <c:x val="-0.14533772694471586"/>
                  <c:y val="1.4749262536873156E-2"/>
                </c:manualLayout>
              </c:layout>
              <c:tx>
                <c:strRef>
                  <c:f>Stakeholder!$B$10</c:f>
                  <c:strCache>
                    <c:ptCount val="1"/>
                    <c:pt idx="0">
                      <c:v>s6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{E5247DAC-A99D-4EA1-9DA0-B415C9C06996}</c15:txfldGUID>
                      <c15:f>Stakeholder!$B$10</c15:f>
                      <c15:dlblFieldTableCache>
                        <c:ptCount val="1"/>
                        <c:pt idx="0">
                          <c:v>s6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0BF2-492A-8B04-41D1DB0C7FA1}"/>
                </c:ext>
              </c:extLst>
            </c:dLbl>
            <c:dLbl>
              <c:idx val="6"/>
              <c:tx>
                <c:strRef>
                  <c:f>Stakeholder!$B$11</c:f>
                  <c:strCache>
                    <c:ptCount val="1"/>
                    <c:pt idx="0">
                      <c:v>s7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{D73A9DBB-DF22-4753-87B7-53D865324BBA}</c15:txfldGUID>
                      <c15:f>Stakeholder!$B$11</c15:f>
                      <c15:dlblFieldTableCache>
                        <c:ptCount val="1"/>
                        <c:pt idx="0">
                          <c:v>s7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0BF2-492A-8B04-41D1DB0C7FA1}"/>
                </c:ext>
              </c:extLst>
            </c:dLbl>
            <c:dLbl>
              <c:idx val="7"/>
              <c:layout>
                <c:manualLayout>
                  <c:x val="-0.19249918577696037"/>
                  <c:y val="-8.8495575221238937E-3"/>
                </c:manualLayout>
              </c:layout>
              <c:tx>
                <c:strRef>
                  <c:f>Stakeholder!$B$12</c:f>
                  <c:strCache>
                    <c:ptCount val="1"/>
                    <c:pt idx="0">
                      <c:v>s8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{63C11BD6-EAA1-473F-9CE3-85C4F46623E5}</c15:txfldGUID>
                      <c15:f>Stakeholder!$B$12</c15:f>
                      <c15:dlblFieldTableCache>
                        <c:ptCount val="1"/>
                        <c:pt idx="0">
                          <c:v>s8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0BF2-492A-8B04-41D1DB0C7FA1}"/>
                </c:ext>
              </c:extLst>
            </c:dLbl>
            <c:dLbl>
              <c:idx val="8"/>
              <c:layout>
                <c:manualLayout>
                  <c:x val="-0.13391584527697264"/>
                  <c:y val="2.9148656121248937E-3"/>
                </c:manualLayout>
              </c:layout>
              <c:tx>
                <c:strRef>
                  <c:f>Stakeholder!$B$13</c:f>
                  <c:strCache>
                    <c:ptCount val="1"/>
                    <c:pt idx="0">
                      <c:v>s9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{6F61E627-7193-4C0F-BA1E-F028F6D22AF2}</c15:txfldGUID>
                      <c15:f>Stakeholder!$B$13</c15:f>
                      <c15:dlblFieldTableCache>
                        <c:ptCount val="1"/>
                        <c:pt idx="0">
                          <c:v>s9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0BF2-492A-8B04-41D1DB0C7FA1}"/>
                </c:ext>
              </c:extLst>
            </c:dLbl>
            <c:dLbl>
              <c:idx val="9"/>
              <c:layout>
                <c:manualLayout>
                  <c:x val="-0.14014687545281485"/>
                  <c:y val="-1.1869436201780416E-2"/>
                </c:manualLayout>
              </c:layout>
              <c:tx>
                <c:strRef>
                  <c:f>Stakeholder!$B$14</c:f>
                  <c:strCache>
                    <c:ptCount val="1"/>
                    <c:pt idx="0">
                      <c:v>s10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{2CBEF44B-3BDB-4B3C-A245-2CF623E774CC}</c15:txfldGUID>
                      <c15:f>Stakeholder!$B$14</c15:f>
                      <c15:dlblFieldTableCache>
                        <c:ptCount val="1"/>
                        <c:pt idx="0">
                          <c:v>s10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0BF2-492A-8B04-41D1DB0C7FA1}"/>
                </c:ext>
              </c:extLst>
            </c:dLbl>
            <c:dLbl>
              <c:idx val="10"/>
              <c:layout>
                <c:manualLayout>
                  <c:x val="-0.14232276947779585"/>
                  <c:y val="2.0132869148032691E-3"/>
                </c:manualLayout>
              </c:layout>
              <c:tx>
                <c:strRef>
                  <c:f>Stakeholder!$B$15</c:f>
                  <c:strCache>
                    <c:ptCount val="1"/>
                    <c:pt idx="0">
                      <c:v>s11</c:v>
                    </c:pt>
                  </c:strCache>
                </c:strRef>
              </c:tx>
              <c:numFmt formatCode="General" sourceLinked="0"/>
              <c:spPr>
                <a:ln>
                  <a:noFill/>
                </a:ln>
              </c:spPr>
              <c:txPr>
                <a:bodyPr rot="0" anchor="ctr" anchorCtr="1"/>
                <a:lstStyle/>
                <a:p>
                  <a:pPr algn="ctr" rtl="0">
                    <a:defRPr lang="en-US" sz="14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{4C0DC7DC-D27E-4F92-9FB0-3F2C650BCB71}</c15:txfldGUID>
                      <c15:f>Stakeholder!$B$15</c15:f>
                      <c15:dlblFieldTableCache>
                        <c:ptCount val="1"/>
                        <c:pt idx="0">
                          <c:v>s11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0BF2-492A-8B04-41D1DB0C7FA1}"/>
                </c:ext>
              </c:extLst>
            </c:dLbl>
            <c:dLbl>
              <c:idx val="11"/>
              <c:layout>
                <c:manualLayout>
                  <c:x val="-0.14379873181313135"/>
                  <c:y val="8.8495837130151012E-3"/>
                </c:manualLayout>
              </c:layout>
              <c:tx>
                <c:strRef>
                  <c:f>Stakeholder!$B$16</c:f>
                  <c:strCache>
                    <c:ptCount val="1"/>
                    <c:pt idx="0">
                      <c:v>s12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{C739222D-5B3E-45AA-A503-31F329304DC5}</c15:txfldGUID>
                      <c15:f>Stakeholder!$B$16</c15:f>
                      <c15:dlblFieldTableCache>
                        <c:ptCount val="1"/>
                        <c:pt idx="0">
                          <c:v>s12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0BF2-492A-8B04-41D1DB0C7FA1}"/>
                </c:ext>
              </c:extLst>
            </c:dLbl>
            <c:dLbl>
              <c:idx val="12"/>
              <c:layout>
                <c:manualLayout>
                  <c:x val="-0.12773217218140859"/>
                  <c:y val="-3.0198524887653138E-3"/>
                </c:manualLayout>
              </c:layout>
              <c:tx>
                <c:strRef>
                  <c:f>Stakeholder!$B$17</c:f>
                  <c:strCache>
                    <c:ptCount val="1"/>
                    <c:pt idx="0">
                      <c:v>s13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{809030BC-4ED7-48EE-8EA4-21D9357DA5E3}</c15:txfldGUID>
                      <c15:f>Stakeholder!$B$17</c15:f>
                      <c15:dlblFieldTableCache>
                        <c:ptCount val="1"/>
                        <c:pt idx="0">
                          <c:v>s13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0BF2-492A-8B04-41D1DB0C7FA1}"/>
                </c:ext>
              </c:extLst>
            </c:dLbl>
            <c:dLbl>
              <c:idx val="13"/>
              <c:layout>
                <c:manualLayout>
                  <c:x val="-0.12557727610711694"/>
                  <c:y val="-3.8514918572863854E-3"/>
                </c:manualLayout>
              </c:layout>
              <c:tx>
                <c:strRef>
                  <c:f>Stakeholder!$B$18</c:f>
                  <c:strCache>
                    <c:ptCount val="1"/>
                    <c:pt idx="0">
                      <c:v>s14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{D0B9EEC5-5D27-4A22-8473-F81A94EB9AEA}</c15:txfldGUID>
                      <c15:f>Stakeholder!$B$18</c15:f>
                      <c15:dlblFieldTableCache>
                        <c:ptCount val="1"/>
                        <c:pt idx="0">
                          <c:v>s14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0BF2-492A-8B04-41D1DB0C7FA1}"/>
                </c:ext>
              </c:extLst>
            </c:dLbl>
            <c:dLbl>
              <c:idx val="14"/>
              <c:layout>
                <c:manualLayout>
                  <c:x val="-0.13468413199758569"/>
                  <c:y val="5.8996705530503053E-3"/>
                </c:manualLayout>
              </c:layout>
              <c:tx>
                <c:strRef>
                  <c:f>Stakeholder!$B$19</c:f>
                  <c:strCache>
                    <c:ptCount val="1"/>
                    <c:pt idx="0">
                      <c:v>s15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{FAAED17E-70E7-46FE-9EE0-7A8EB3A2A167}</c15:txfldGUID>
                      <c15:f>Stakeholder!$B$19</c15:f>
                      <c15:dlblFieldTableCache>
                        <c:ptCount val="1"/>
                        <c:pt idx="0">
                          <c:v>s15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0BF2-492A-8B04-41D1DB0C7FA1}"/>
                </c:ext>
              </c:extLst>
            </c:dLbl>
            <c:dLbl>
              <c:idx val="15"/>
              <c:layout>
                <c:manualLayout>
                  <c:x val="-0.15875984614012245"/>
                  <c:y val="1.9209015786973215E-2"/>
                </c:manualLayout>
              </c:layout>
              <c:tx>
                <c:strRef>
                  <c:f>Stakeholder!$B$20</c:f>
                  <c:strCache>
                    <c:ptCount val="1"/>
                    <c:pt idx="0">
                      <c:v>s16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{04BC4980-BAC9-4697-BF49-40542A7213A7}</c15:txfldGUID>
                      <c15:f>Stakeholder!$B$20</c15:f>
                      <c15:dlblFieldTableCache>
                        <c:ptCount val="1"/>
                        <c:pt idx="0">
                          <c:v>s16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0BF2-492A-8B04-41D1DB0C7FA1}"/>
                </c:ext>
              </c:extLst>
            </c:dLbl>
            <c:dLbl>
              <c:idx val="16"/>
              <c:layout>
                <c:manualLayout>
                  <c:x val="-0.13325790948870578"/>
                  <c:y val="2.9148656121248937E-3"/>
                </c:manualLayout>
              </c:layout>
              <c:tx>
                <c:strRef>
                  <c:f>Stakeholder!$B$21</c:f>
                  <c:strCache>
                    <c:ptCount val="1"/>
                    <c:pt idx="0">
                      <c:v>s17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{637E4F58-950C-403C-AF04-6619C7AB0298}</c15:txfldGUID>
                      <c15:f>Stakeholder!$B$21</c15:f>
                      <c15:dlblFieldTableCache>
                        <c:ptCount val="1"/>
                        <c:pt idx="0">
                          <c:v>s17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0BF2-492A-8B04-41D1DB0C7FA1}"/>
                </c:ext>
              </c:extLst>
            </c:dLbl>
            <c:dLbl>
              <c:idx val="17"/>
              <c:layout>
                <c:manualLayout>
                  <c:x val="-0.14763003874494207"/>
                  <c:y val="1.2806062446941907E-2"/>
                </c:manualLayout>
              </c:layout>
              <c:tx>
                <c:strRef>
                  <c:f>Stakeholder!$B$22</c:f>
                  <c:strCache>
                    <c:ptCount val="1"/>
                    <c:pt idx="0">
                      <c:v>s18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{A4005805-773B-4895-95D4-36ADE51D169C}</c15:txfldGUID>
                      <c15:f>Stakeholder!$B$22</c15:f>
                      <c15:dlblFieldTableCache>
                        <c:ptCount val="1"/>
                        <c:pt idx="0">
                          <c:v>s18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0BF2-492A-8B04-41D1DB0C7FA1}"/>
                </c:ext>
              </c:extLst>
            </c:dLbl>
            <c:dLbl>
              <c:idx val="18"/>
              <c:layout>
                <c:manualLayout>
                  <c:x val="-0.14983824876495563"/>
                  <c:y val="9.9612919304967826E-3"/>
                </c:manualLayout>
              </c:layout>
              <c:tx>
                <c:strRef>
                  <c:f>Stakeholder!$B$23</c:f>
                  <c:strCache>
                    <c:ptCount val="1"/>
                    <c:pt idx="0">
                      <c:v>s19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{3326D052-E136-4E5F-B410-E11356AFB6E6}</c15:txfldGUID>
                      <c15:f>Stakeholder!$B$23</c15:f>
                      <c15:dlblFieldTableCache>
                        <c:ptCount val="1"/>
                        <c:pt idx="0">
                          <c:v>s19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0BF2-492A-8B04-41D1DB0C7FA1}"/>
                </c:ext>
              </c:extLst>
            </c:dLbl>
            <c:dLbl>
              <c:idx val="19"/>
              <c:layout>
                <c:manualLayout>
                  <c:x val="-0.14422911534144528"/>
                  <c:y val="-2.9148656121248937E-3"/>
                </c:manualLayout>
              </c:layout>
              <c:tx>
                <c:strRef>
                  <c:f>Stakeholder!$B$24</c:f>
                  <c:strCache>
                    <c:ptCount val="1"/>
                    <c:pt idx="0">
                      <c:v>s20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{B135B87B-C8EF-48E2-9372-A23C0DFBEB1B}</c15:txfldGUID>
                      <c15:f>Stakeholder!$B$24</c15:f>
                      <c15:dlblFieldTableCache>
                        <c:ptCount val="1"/>
                        <c:pt idx="0">
                          <c:v>s20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0BF2-492A-8B04-41D1DB0C7FA1}"/>
                </c:ext>
              </c:extLst>
            </c:dLbl>
            <c:numFmt formatCode="General" sourceLinked="0"/>
            <c:spPr>
              <a:ln>
                <a:noFill/>
              </a:ln>
            </c:spPr>
            <c:txPr>
              <a:bodyPr rot="0" anchor="ctr" anchorCtr="1"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Stakeholder!$D$5:$D$24</c:f>
              <c:numCache>
                <c:formatCode>0</c:formatCode>
                <c:ptCount val="20"/>
                <c:pt idx="0">
                  <c:v>8.1818181818181817</c:v>
                </c:pt>
                <c:pt idx="1">
                  <c:v>5</c:v>
                </c:pt>
              </c:numCache>
            </c:numRef>
          </c:xVal>
          <c:yVal>
            <c:numRef>
              <c:f>Stakeholder!$E$5:$E$24</c:f>
              <c:numCache>
                <c:formatCode>0</c:formatCode>
                <c:ptCount val="20"/>
                <c:pt idx="0">
                  <c:v>4</c:v>
                </c:pt>
                <c:pt idx="1">
                  <c:v>6</c:v>
                </c:pt>
              </c:numCache>
            </c:numRef>
          </c:yVal>
          <c:bubbleSize>
            <c:numRef>
              <c:f>Stakeholder!$K$5:$K$24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0BF2-492A-8B04-41D1DB0C7F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374465120"/>
        <c:axId val="1374188928"/>
      </c:bubbleChart>
      <c:valAx>
        <c:axId val="1374465120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374188928"/>
        <c:crosses val="autoZero"/>
        <c:crossBetween val="midCat"/>
        <c:majorUnit val="1"/>
        <c:minorUnit val="0.1"/>
      </c:valAx>
      <c:valAx>
        <c:axId val="1374188928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3744651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632378399508571"/>
          <c:y val="6.7637738192824898E-2"/>
          <c:w val="0.58180025369169275"/>
          <c:h val="0.89329052189422975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cat>
            <c:strRef>
              <c:f>PESTLE!$C$5:$C$10</c:f>
              <c:strCache>
                <c:ptCount val="6"/>
                <c:pt idx="0">
                  <c:v>Facteurs d'influence politique</c:v>
                </c:pt>
                <c:pt idx="1">
                  <c:v>Facteurs d'influence économique</c:v>
                </c:pt>
                <c:pt idx="2">
                  <c:v>Facteurs d'influence sociologique</c:v>
                </c:pt>
                <c:pt idx="3">
                  <c:v>Facteurs d'influence technologique</c:v>
                </c:pt>
                <c:pt idx="4">
                  <c:v>Facteurs d'influence écologique</c:v>
                </c:pt>
                <c:pt idx="5">
                  <c:v>Facteurs d'influence législative</c:v>
                </c:pt>
              </c:strCache>
            </c:strRef>
          </c:cat>
          <c:val>
            <c:numRef>
              <c:f>PESTLE!$D$5:$D$10</c:f>
              <c:numCache>
                <c:formatCode>0.00</c:formatCode>
                <c:ptCount val="6"/>
                <c:pt idx="0">
                  <c:v>3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0.1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43-4CC6-A37F-B3E748EF73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2475056"/>
        <c:axId val="1682464720"/>
      </c:radarChart>
      <c:catAx>
        <c:axId val="168247505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en-US"/>
          </a:p>
        </c:txPr>
        <c:crossAx val="1682464720"/>
        <c:crosses val="autoZero"/>
        <c:auto val="1"/>
        <c:lblAlgn val="ctr"/>
        <c:lblOffset val="100"/>
        <c:noMultiLvlLbl val="0"/>
      </c:catAx>
      <c:valAx>
        <c:axId val="1682464720"/>
        <c:scaling>
          <c:orientation val="minMax"/>
        </c:scaling>
        <c:delete val="0"/>
        <c:axPos val="l"/>
        <c:majorGridlines/>
        <c:numFmt formatCode="0.00" sourceLinked="1"/>
        <c:majorTickMark val="cross"/>
        <c:minorTickMark val="none"/>
        <c:tickLblPos val="nextTo"/>
        <c:crossAx val="1682475056"/>
        <c:crosses val="autoZero"/>
        <c:crossBetween val="between"/>
        <c:majorUnit val="1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circle"/>
            <c:size val="12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1">
                        <a:lumMod val="50000"/>
                      </a:schemeClr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'Swot-Analyse'!$D$6:$D$23</c:f>
              <c:numCache>
                <c:formatCode>0</c:formatCode>
                <c:ptCount val="18"/>
                <c:pt idx="0">
                  <c:v>5</c:v>
                </c:pt>
                <c:pt idx="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D1-444C-9B50-4E6D1753135A}"/>
            </c:ext>
          </c:extLst>
        </c:ser>
        <c:ser>
          <c:idx val="1"/>
          <c:order val="1"/>
          <c:spPr>
            <a:ln w="15875">
              <a:solidFill>
                <a:schemeClr val="accent6">
                  <a:lumMod val="60000"/>
                  <a:lumOff val="40000"/>
                </a:schemeClr>
              </a:solidFill>
            </a:ln>
          </c:spPr>
          <c:marker>
            <c:symbol val="square"/>
            <c:size val="11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'Swot-Analyse'!$H$6:$H$23</c:f>
              <c:numCache>
                <c:formatCode>0</c:formatCode>
                <c:ptCount val="18"/>
                <c:pt idx="0">
                  <c:v>-5</c:v>
                </c:pt>
                <c:pt idx="1">
                  <c:v>-4</c:v>
                </c:pt>
                <c:pt idx="2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D1-444C-9B50-4E6D175313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2465264"/>
        <c:axId val="1682472880"/>
      </c:lineChart>
      <c:catAx>
        <c:axId val="1682465264"/>
        <c:scaling>
          <c:orientation val="minMax"/>
        </c:scaling>
        <c:delete val="1"/>
        <c:axPos val="b"/>
        <c:majorTickMark val="none"/>
        <c:minorTickMark val="none"/>
        <c:tickLblPos val="nextTo"/>
        <c:crossAx val="1682472880"/>
        <c:crosses val="max"/>
        <c:auto val="1"/>
        <c:lblAlgn val="ctr"/>
        <c:lblOffset val="100"/>
        <c:noMultiLvlLbl val="0"/>
      </c:catAx>
      <c:valAx>
        <c:axId val="1682472880"/>
        <c:scaling>
          <c:orientation val="maxMin"/>
          <c:max val="5"/>
          <c:min val="-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900" b="0"/>
            </a:pPr>
            <a:endParaRPr lang="en-US"/>
          </a:p>
        </c:txPr>
        <c:crossAx val="1682465264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spPr>
    <a:ln w="3175">
      <a:solidFill>
        <a:schemeClr val="bg1">
          <a:lumMod val="85000"/>
        </a:schemeClr>
      </a:solidFill>
    </a:ln>
  </c:sp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>
              <a:solidFill>
                <a:schemeClr val="accent2">
                  <a:lumMod val="40000"/>
                  <a:lumOff val="60000"/>
                </a:schemeClr>
              </a:solidFill>
            </a:ln>
          </c:spPr>
          <c:marker>
            <c:symbol val="circle"/>
            <c:size val="12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rgbClr val="C00000"/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'Swot-Analyse'!$D$25:$D$42</c:f>
              <c:numCache>
                <c:formatCode>0</c:formatCode>
                <c:ptCount val="18"/>
                <c:pt idx="0">
                  <c:v>3</c:v>
                </c:pt>
                <c:pt idx="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AA-4F55-B40B-B947EB67C6D7}"/>
            </c:ext>
          </c:extLst>
        </c:ser>
        <c:ser>
          <c:idx val="1"/>
          <c:order val="1"/>
          <c:spPr>
            <a:ln w="15875"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11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4">
                        <a:lumMod val="75000"/>
                      </a:schemeClr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'Swot-Analyse'!$H$25:$H$42</c:f>
              <c:numCache>
                <c:formatCode>0</c:formatCode>
                <c:ptCount val="18"/>
                <c:pt idx="0">
                  <c:v>-2</c:v>
                </c:pt>
                <c:pt idx="1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AA-4F55-B40B-B947EB67C6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2468528"/>
        <c:axId val="1682477232"/>
      </c:lineChart>
      <c:catAx>
        <c:axId val="1682468528"/>
        <c:scaling>
          <c:orientation val="minMax"/>
        </c:scaling>
        <c:delete val="1"/>
        <c:axPos val="b"/>
        <c:majorTickMark val="none"/>
        <c:minorTickMark val="none"/>
        <c:tickLblPos val="nextTo"/>
        <c:crossAx val="1682477232"/>
        <c:crosses val="max"/>
        <c:auto val="1"/>
        <c:lblAlgn val="ctr"/>
        <c:lblOffset val="100"/>
        <c:noMultiLvlLbl val="0"/>
      </c:catAx>
      <c:valAx>
        <c:axId val="1682477232"/>
        <c:scaling>
          <c:orientation val="maxMin"/>
          <c:max val="5"/>
          <c:min val="-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900" b="0"/>
            </a:pPr>
            <a:endParaRPr lang="en-US"/>
          </a:p>
        </c:txPr>
        <c:crossAx val="1682468528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spPr>
    <a:ln w="3175">
      <a:solidFill>
        <a:schemeClr val="bg1">
          <a:lumMod val="85000"/>
        </a:schemeClr>
      </a:solidFill>
    </a:ln>
  </c:sp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>
              <a:solidFill>
                <a:schemeClr val="accent2">
                  <a:lumMod val="40000"/>
                  <a:lumOff val="60000"/>
                </a:schemeClr>
              </a:solidFill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val>
            <c:numRef>
              <c:f>Benchmark!$E$5:$E$34</c:f>
              <c:numCache>
                <c:formatCode>General</c:formatCode>
                <c:ptCount val="3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-1</c:v>
                </c:pt>
                <c:pt idx="4">
                  <c:v>-3</c:v>
                </c:pt>
                <c:pt idx="5">
                  <c:v>1</c:v>
                </c:pt>
                <c:pt idx="6">
                  <c:v>-3</c:v>
                </c:pt>
                <c:pt idx="7">
                  <c:v>3</c:v>
                </c:pt>
                <c:pt idx="8">
                  <c:v>1</c:v>
                </c:pt>
                <c:pt idx="9">
                  <c:v>-1</c:v>
                </c:pt>
                <c:pt idx="10">
                  <c:v>2</c:v>
                </c:pt>
                <c:pt idx="11">
                  <c:v>-1</c:v>
                </c:pt>
                <c:pt idx="12">
                  <c:v>0</c:v>
                </c:pt>
                <c:pt idx="13">
                  <c:v>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14-445B-84E0-146648E745EE}"/>
            </c:ext>
          </c:extLst>
        </c:ser>
        <c:ser>
          <c:idx val="1"/>
          <c:order val="1"/>
          <c:spPr>
            <a:ln w="22225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diamond"/>
            <c:size val="8"/>
            <c:spPr>
              <a:solidFill>
                <a:schemeClr val="tx2"/>
              </a:solidFill>
              <a:ln>
                <a:noFill/>
              </a:ln>
            </c:spPr>
          </c:marker>
          <c:val>
            <c:numRef>
              <c:f>Benchmark!$F$5:$F$34</c:f>
              <c:numCache>
                <c:formatCode>General</c:formatCode>
                <c:ptCount val="30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14-445B-84E0-146648E745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2472336"/>
        <c:axId val="1682473968"/>
      </c:lineChart>
      <c:catAx>
        <c:axId val="1682472336"/>
        <c:scaling>
          <c:orientation val="minMax"/>
        </c:scaling>
        <c:delete val="1"/>
        <c:axPos val="b"/>
        <c:majorTickMark val="none"/>
        <c:minorTickMark val="none"/>
        <c:tickLblPos val="nextTo"/>
        <c:crossAx val="1682473968"/>
        <c:crosses val="max"/>
        <c:auto val="1"/>
        <c:lblAlgn val="ctr"/>
        <c:lblOffset val="100"/>
        <c:noMultiLvlLbl val="0"/>
      </c:catAx>
      <c:valAx>
        <c:axId val="1682473968"/>
        <c:scaling>
          <c:orientation val="maxMin"/>
          <c:max val="3"/>
          <c:min val="-3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200" b="1"/>
            </a:pPr>
            <a:endParaRPr lang="en-US"/>
          </a:p>
        </c:txPr>
        <c:crossAx val="1682472336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03462222566488"/>
          <c:y val="2.6958651978024033E-2"/>
          <c:w val="0.83886613767376805"/>
          <c:h val="0.91532703657865944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5DA5-42C8-8D3B-75FAB67402BE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5DA5-42C8-8D3B-75FAB67402BE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5DA5-42C8-8D3B-75FAB67402BE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5DA5-42C8-8D3B-75FAB67402BE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5DA5-42C8-8D3B-75FAB67402BE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5DA5-42C8-8D3B-75FAB67402BE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5DA5-42C8-8D3B-75FAB67402BE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DA5-42C8-8D3B-75FAB67402BE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5DA5-42C8-8D3B-75FAB67402BE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DA5-42C8-8D3B-75FAB67402BE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5DA5-42C8-8D3B-75FAB67402BE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DA5-42C8-8D3B-75FAB67402BE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5DA5-42C8-8D3B-75FAB67402BE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5DA5-42C8-8D3B-75FAB67402BE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5DA5-42C8-8D3B-75FAB67402BE}"/>
              </c:ext>
            </c:extLst>
          </c:dPt>
          <c:dLbls>
            <c:dLbl>
              <c:idx val="0"/>
              <c:tx>
                <c:strRef>
                  <c:f>Zielgruppe!$B$5</c:f>
                  <c:strCache>
                    <c:ptCount val="1"/>
                    <c:pt idx="0">
                      <c:v>Z1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{1C597A21-0E33-49B0-8EEC-678A404C3541}</c15:txfldGUID>
                      <c15:f>Zielgruppe!$B$5</c15:f>
                      <c15:dlblFieldTableCache>
                        <c:ptCount val="1"/>
                        <c:pt idx="0">
                          <c:v>Z1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5DA5-42C8-8D3B-75FAB67402BE}"/>
                </c:ext>
              </c:extLst>
            </c:dLbl>
            <c:dLbl>
              <c:idx val="1"/>
              <c:tx>
                <c:strRef>
                  <c:f>Zielgruppe!$B$6</c:f>
                  <c:strCache>
                    <c:ptCount val="1"/>
                    <c:pt idx="0">
                      <c:v>Z2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{4403EFA0-DA4B-41EA-AAB4-310A96CBF0A5}</c15:txfldGUID>
                      <c15:f>Zielgruppe!$B$6</c15:f>
                      <c15:dlblFieldTableCache>
                        <c:ptCount val="1"/>
                        <c:pt idx="0">
                          <c:v>Z2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5DA5-42C8-8D3B-75FAB67402BE}"/>
                </c:ext>
              </c:extLst>
            </c:dLbl>
            <c:dLbl>
              <c:idx val="2"/>
              <c:layout>
                <c:manualLayout>
                  <c:x val="-0.11427956485141658"/>
                  <c:y val="0"/>
                </c:manualLayout>
              </c:layout>
              <c:tx>
                <c:strRef>
                  <c:f>Zielgruppe!$B$7</c:f>
                  <c:strCache>
                    <c:ptCount val="1"/>
                    <c:pt idx="0">
                      <c:v>Z3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{C3B7D4C7-E758-4F3B-A3D0-1060C95D725C}</c15:txfldGUID>
                      <c15:f>Zielgruppe!$B$7</c15:f>
                      <c15:dlblFieldTableCache>
                        <c:ptCount val="1"/>
                        <c:pt idx="0">
                          <c:v>Z3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5DA5-42C8-8D3B-75FAB67402BE}"/>
                </c:ext>
              </c:extLst>
            </c:dLbl>
            <c:dLbl>
              <c:idx val="3"/>
              <c:layout>
                <c:manualLayout>
                  <c:x val="-0.1413431643101446"/>
                  <c:y val="2.1416768115255264E-3"/>
                </c:manualLayout>
              </c:layout>
              <c:tx>
                <c:strRef>
                  <c:f>Zielgruppe!$B$8</c:f>
                  <c:strCache>
                    <c:ptCount val="1"/>
                    <c:pt idx="0">
                      <c:v>Z4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{F02B6F19-94C9-4D37-8C26-299EFCEBCC99}</c15:txfldGUID>
                      <c15:f>Zielgruppe!$B$8</c15:f>
                      <c15:dlblFieldTableCache>
                        <c:ptCount val="1"/>
                        <c:pt idx="0">
                          <c:v>Z4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5DA5-42C8-8D3B-75FAB67402BE}"/>
                </c:ext>
              </c:extLst>
            </c:dLbl>
            <c:dLbl>
              <c:idx val="4"/>
              <c:tx>
                <c:strRef>
                  <c:f>Zielgruppe!$B$9</c:f>
                  <c:strCache>
                    <c:ptCount val="1"/>
                    <c:pt idx="0">
                      <c:v>Z5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{C30E0599-F28E-426B-9FF2-6D949EB7BCE2}</c15:txfldGUID>
                      <c15:f>Zielgruppe!$B$9</c15:f>
                      <c15:dlblFieldTableCache>
                        <c:ptCount val="1"/>
                        <c:pt idx="0">
                          <c:v>Z5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5DA5-42C8-8D3B-75FAB67402BE}"/>
                </c:ext>
              </c:extLst>
            </c:dLbl>
            <c:dLbl>
              <c:idx val="5"/>
              <c:layout>
                <c:manualLayout>
                  <c:x val="-0.11247532488750138"/>
                  <c:y val="-1.0708384057627633E-2"/>
                </c:manualLayout>
              </c:layout>
              <c:tx>
                <c:strRef>
                  <c:f>Zielgruppe!$B$10</c:f>
                  <c:strCache>
                    <c:ptCount val="1"/>
                    <c:pt idx="0">
                      <c:v>Z6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{33C920E7-8716-4F3B-9280-4D73F6A56442}</c15:txfldGUID>
                      <c15:f>Zielgruppe!$B$10</c15:f>
                      <c15:dlblFieldTableCache>
                        <c:ptCount val="1"/>
                        <c:pt idx="0">
                          <c:v>Z6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5DA5-42C8-8D3B-75FAB67402BE}"/>
                </c:ext>
              </c:extLst>
            </c:dLbl>
            <c:dLbl>
              <c:idx val="6"/>
              <c:layout>
                <c:manualLayout>
                  <c:x val="-0.10525836503184058"/>
                  <c:y val="1.2850060869153159E-2"/>
                </c:manualLayout>
              </c:layout>
              <c:tx>
                <c:strRef>
                  <c:f>Zielgruppe!$B$11</c:f>
                  <c:strCache>
                    <c:ptCount val="1"/>
                    <c:pt idx="0">
                      <c:v>Z7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{E8DDBFED-818F-445C-B769-0C8E2CD7CD4D}</c15:txfldGUID>
                      <c15:f>Zielgruppe!$B$11</c15:f>
                      <c15:dlblFieldTableCache>
                        <c:ptCount val="1"/>
                        <c:pt idx="0">
                          <c:v>Z7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5DA5-42C8-8D3B-75FAB67402BE}"/>
                </c:ext>
              </c:extLst>
            </c:dLbl>
            <c:dLbl>
              <c:idx val="7"/>
              <c:layout>
                <c:manualLayout>
                  <c:x val="-0.10164988510401017"/>
                  <c:y val="-6.4250304345765796E-3"/>
                </c:manualLayout>
              </c:layout>
              <c:tx>
                <c:strRef>
                  <c:f>Zielgruppe!$B$12</c:f>
                  <c:strCache>
                    <c:ptCount val="1"/>
                    <c:pt idx="0">
                      <c:v>Z8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{F1A89345-B087-4122-AA83-F96D97D51603}</c15:txfldGUID>
                      <c15:f>Zielgruppe!$B$12</c15:f>
                      <c15:dlblFieldTableCache>
                        <c:ptCount val="1"/>
                        <c:pt idx="0">
                          <c:v>Z8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5DA5-42C8-8D3B-75FAB67402BE}"/>
                </c:ext>
              </c:extLst>
            </c:dLbl>
            <c:dLbl>
              <c:idx val="8"/>
              <c:layout>
                <c:manualLayout>
                  <c:x val="-0.1413431643101446"/>
                  <c:y val="-6.4250304345765796E-3"/>
                </c:manualLayout>
              </c:layout>
              <c:tx>
                <c:strRef>
                  <c:f>Zielgruppe!$B$13</c:f>
                  <c:strCache>
                    <c:ptCount val="1"/>
                    <c:pt idx="0">
                      <c:v>Z9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{C6C1B768-C460-4230-B7A3-3DCF1944B772}</c15:txfldGUID>
                      <c15:f>Zielgruppe!$B$13</c15:f>
                      <c15:dlblFieldTableCache>
                        <c:ptCount val="1"/>
                        <c:pt idx="0">
                          <c:v>Z9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5DA5-42C8-8D3B-75FAB67402BE}"/>
                </c:ext>
              </c:extLst>
            </c:dLbl>
            <c:dLbl>
              <c:idx val="9"/>
              <c:layout>
                <c:manualLayout>
                  <c:x val="-0.12426610408475666"/>
                  <c:y val="2.1416768115255266E-2"/>
                </c:manualLayout>
              </c:layout>
              <c:tx>
                <c:strRef>
                  <c:f>Zielgruppe!$B$14</c:f>
                  <c:strCache>
                    <c:ptCount val="1"/>
                    <c:pt idx="0">
                      <c:v>Z10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{440A8DE4-789E-4157-BF34-8783C27275CB}</c15:txfldGUID>
                      <c15:f>Zielgruppe!$B$14</c15:f>
                      <c15:dlblFieldTableCache>
                        <c:ptCount val="1"/>
                        <c:pt idx="0">
                          <c:v>Z10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5DA5-42C8-8D3B-75FAB67402BE}"/>
                </c:ext>
              </c:extLst>
            </c:dLbl>
            <c:dLbl>
              <c:idx val="10"/>
              <c:layout>
                <c:manualLayout>
                  <c:x val="-0.10802794440951985"/>
                  <c:y val="-1.2850060869153159E-2"/>
                </c:manualLayout>
              </c:layout>
              <c:tx>
                <c:strRef>
                  <c:f>Zielgruppe!$B$15</c:f>
                  <c:strCache>
                    <c:ptCount val="1"/>
                    <c:pt idx="0">
                      <c:v>Z11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{BBA0FA95-D166-4F02-8988-8435DBBBF6C3}</c15:txfldGUID>
                      <c15:f>Zielgruppe!$B$15</c15:f>
                      <c15:dlblFieldTableCache>
                        <c:ptCount val="1"/>
                        <c:pt idx="0">
                          <c:v>Z11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5DA5-42C8-8D3B-75FAB67402BE}"/>
                </c:ext>
              </c:extLst>
            </c:dLbl>
            <c:dLbl>
              <c:idx val="11"/>
              <c:layout>
                <c:manualLayout>
                  <c:x val="-0.12787458401258706"/>
                  <c:y val="-2.1416768115255266E-2"/>
                </c:manualLayout>
              </c:layout>
              <c:tx>
                <c:strRef>
                  <c:f>Zielgruppe!$B$16</c:f>
                  <c:strCache>
                    <c:ptCount val="1"/>
                    <c:pt idx="0">
                      <c:v>Z12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{E6C8C167-B557-4BC2-818B-CE5B6BC032D7}</c15:txfldGUID>
                      <c15:f>Zielgruppe!$B$16</c15:f>
                      <c15:dlblFieldTableCache>
                        <c:ptCount val="1"/>
                        <c:pt idx="0">
                          <c:v>Z12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5DA5-42C8-8D3B-75FAB67402BE}"/>
                </c:ext>
              </c:extLst>
            </c:dLbl>
            <c:dLbl>
              <c:idx val="12"/>
              <c:layout>
                <c:manualLayout>
                  <c:x val="-0.14411274368782387"/>
                  <c:y val="0"/>
                </c:manualLayout>
              </c:layout>
              <c:tx>
                <c:strRef>
                  <c:f>Zielgruppe!$B$17</c:f>
                  <c:strCache>
                    <c:ptCount val="1"/>
                    <c:pt idx="0">
                      <c:v>Z13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{1D5D4556-9D88-4805-BB56-3DC7B4E26504}</c15:txfldGUID>
                      <c15:f>Zielgruppe!$B$17</c15:f>
                      <c15:dlblFieldTableCache>
                        <c:ptCount val="1"/>
                        <c:pt idx="0">
                          <c:v>Z13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5DA5-42C8-8D3B-75FAB67402BE}"/>
                </c:ext>
              </c:extLst>
            </c:dLbl>
            <c:dLbl>
              <c:idx val="13"/>
              <c:tx>
                <c:strRef>
                  <c:f>Zielgruppe!$B$18</c:f>
                  <c:strCache>
                    <c:ptCount val="1"/>
                    <c:pt idx="0">
                      <c:v>Z14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{C0E739E8-8987-41EC-8362-A0D8B9F982FD}</c15:txfldGUID>
                      <c15:f>Zielgruppe!$B$18</c15:f>
                      <c15:dlblFieldTableCache>
                        <c:ptCount val="1"/>
                        <c:pt idx="0">
                          <c:v>Z14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5DA5-42C8-8D3B-75FAB67402BE}"/>
                </c:ext>
              </c:extLst>
            </c:dLbl>
            <c:dLbl>
              <c:idx val="14"/>
              <c:tx>
                <c:strRef>
                  <c:f>Zielgruppe!$B$19</c:f>
                  <c:strCache>
                    <c:ptCount val="1"/>
                    <c:pt idx="0">
                      <c:v>Z15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{095A2CB2-C5F4-45FC-B4FA-8E4CC785C976}</c15:txfldGUID>
                      <c15:f>Zielgruppe!$B$19</c15:f>
                      <c15:dlblFieldTableCache>
                        <c:ptCount val="1"/>
                        <c:pt idx="0">
                          <c:v>Z15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5DA5-42C8-8D3B-75FAB67402BE}"/>
                </c:ext>
              </c:extLst>
            </c:dLbl>
            <c:dLbl>
              <c:idx val="15"/>
              <c:layout>
                <c:manualLayout>
                  <c:x val="-0.12607034404867187"/>
                  <c:y val="6.4250304345765796E-3"/>
                </c:manualLayout>
              </c:layout>
              <c:tx>
                <c:strRef>
                  <c:f>Zielgruppe!$B$20</c:f>
                  <c:strCache>
                    <c:ptCount val="1"/>
                    <c:pt idx="0">
                      <c:v>Z16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{8535000A-47A7-47C5-A622-E25440B2AB4F}</c15:txfldGUID>
                      <c15:f>Zielgruppe!$B$20</c15:f>
                      <c15:dlblFieldTableCache>
                        <c:ptCount val="1"/>
                        <c:pt idx="0">
                          <c:v>Z16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5DA5-42C8-8D3B-75FAB67402BE}"/>
                </c:ext>
              </c:extLst>
            </c:dLbl>
            <c:dLbl>
              <c:idx val="16"/>
              <c:layout>
                <c:manualLayout>
                  <c:x val="-0.11885338419301106"/>
                  <c:y val="-8.5667072461021055E-3"/>
                </c:manualLayout>
              </c:layout>
              <c:tx>
                <c:strRef>
                  <c:f>Zielgruppe!$B$21</c:f>
                  <c:strCache>
                    <c:ptCount val="1"/>
                    <c:pt idx="0">
                      <c:v>Z17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{1997FEC3-521B-4DB8-8AF9-700841A131EA}</c15:txfldGUID>
                      <c15:f>Zielgruppe!$B$21</c15:f>
                      <c15:dlblFieldTableCache>
                        <c:ptCount val="1"/>
                        <c:pt idx="0">
                          <c:v>Z17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5DA5-42C8-8D3B-75FAB67402BE}"/>
                </c:ext>
              </c:extLst>
            </c:dLbl>
            <c:dLbl>
              <c:idx val="17"/>
              <c:layout>
                <c:manualLayout>
                  <c:x val="-0.12426610408475666"/>
                  <c:y val="-1.0708384057627633E-2"/>
                </c:manualLayout>
              </c:layout>
              <c:tx>
                <c:strRef>
                  <c:f>Zielgruppe!$B$22</c:f>
                  <c:strCache>
                    <c:ptCount val="1"/>
                    <c:pt idx="0">
                      <c:v>Z18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{E0955611-D9E8-476A-A142-A5AC07008476}</c15:txfldGUID>
                      <c15:f>Zielgruppe!$B$22</c15:f>
                      <c15:dlblFieldTableCache>
                        <c:ptCount val="1"/>
                        <c:pt idx="0">
                          <c:v>Z18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5DA5-42C8-8D3B-75FAB67402BE}"/>
                </c:ext>
              </c:extLst>
            </c:dLbl>
            <c:dLbl>
              <c:idx val="18"/>
              <c:tx>
                <c:strRef>
                  <c:f>Zielgruppe!$B$23</c:f>
                  <c:strCache>
                    <c:ptCount val="1"/>
                    <c:pt idx="0">
                      <c:v>Z19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{AA9A2DC0-F43F-407D-8FA2-F298FC10719D}</c15:txfldGUID>
                      <c15:f>Zielgruppe!$B$23</c15:f>
                      <c15:dlblFieldTableCache>
                        <c:ptCount val="1"/>
                        <c:pt idx="0">
                          <c:v>Z19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5DA5-42C8-8D3B-75FAB67402BE}"/>
                </c:ext>
              </c:extLst>
            </c:dLbl>
            <c:dLbl>
              <c:idx val="19"/>
              <c:layout>
                <c:manualLayout>
                  <c:x val="-0.12246186412084145"/>
                  <c:y val="-6.4250304345765796E-3"/>
                </c:manualLayout>
              </c:layout>
              <c:tx>
                <c:strRef>
                  <c:f>Zielgruppe!$B$24</c:f>
                  <c:strCache>
                    <c:ptCount val="1"/>
                    <c:pt idx="0">
                      <c:v>Z20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{DDEB8EF7-5370-4C4B-87FB-394BC4FAA51A}</c15:txfldGUID>
                      <c15:f>Zielgruppe!$B$24</c15:f>
                      <c15:dlblFieldTableCache>
                        <c:ptCount val="1"/>
                        <c:pt idx="0">
                          <c:v>Z20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5DA5-42C8-8D3B-75FAB67402BE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Zielgruppe!$D$5:$D$24</c:f>
              <c:numCache>
                <c:formatCode>0</c:formatCode>
                <c:ptCount val="20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Zielgruppe!$E$5:$E$24</c:f>
              <c:numCache>
                <c:formatCode>0</c:formatCode>
                <c:ptCount val="20"/>
                <c:pt idx="0">
                  <c:v>3</c:v>
                </c:pt>
                <c:pt idx="1">
                  <c:v>6</c:v>
                </c:pt>
              </c:numCache>
            </c:numRef>
          </c:yVal>
          <c:bubbleSize>
            <c:numRef>
              <c:f>Zielgruppe!$J$5:$J$24</c:f>
              <c:numCache>
                <c:formatCode>General</c:formatCode>
                <c:ptCount val="2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5DA5-42C8-8D3B-75FAB67402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82475600"/>
        <c:axId val="1682474512"/>
      </c:bubbleChart>
      <c:valAx>
        <c:axId val="1682475600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682474512"/>
        <c:crosses val="autoZero"/>
        <c:crossBetween val="midCat"/>
        <c:majorUnit val="1"/>
        <c:minorUnit val="0.1"/>
      </c:valAx>
      <c:valAx>
        <c:axId val="1682474512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68247560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90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5510-45C9-97D0-3E04CDB70E2B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5510-45C9-97D0-3E04CDB70E2B}"/>
              </c:ext>
            </c:extLst>
          </c:dPt>
          <c:dPt>
            <c:idx val="2"/>
            <c:invertIfNegative val="0"/>
            <c:bubble3D val="0"/>
            <c:spPr>
              <a:solidFill>
                <a:schemeClr val="bg1">
                  <a:lumMod val="9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5510-45C9-97D0-3E04CDB70E2B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8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5510-45C9-97D0-3E04CDB70E2B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5510-45C9-97D0-3E04CDB70E2B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5510-45C9-97D0-3E04CDB70E2B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2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5510-45C9-97D0-3E04CDB70E2B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5510-45C9-97D0-3E04CDB70E2B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5510-45C9-97D0-3E04CDB70E2B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3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5510-45C9-97D0-3E04CDB70E2B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5-5510-45C9-97D0-3E04CDB70E2B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7-5510-45C9-97D0-3E04CDB70E2B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5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9-5510-45C9-97D0-3E04CDB70E2B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B-5510-45C9-97D0-3E04CDB70E2B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6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D-5510-45C9-97D0-3E04CDB70E2B}"/>
              </c:ext>
            </c:extLst>
          </c:dPt>
          <c:dLbls>
            <c:dLbl>
              <c:idx val="0"/>
              <c:layout>
                <c:manualLayout>
                  <c:x val="-8.3307290698941008E-2"/>
                  <c:y val="-8.8741018247284337E-3"/>
                </c:manualLayout>
              </c:layout>
              <c:tx>
                <c:strRef>
                  <c:f>Risikomgmt!$B$5</c:f>
                  <c:strCache>
                    <c:ptCount val="1"/>
                    <c:pt idx="0">
                      <c:v>R1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{6CC908BF-3A7D-4719-9FB9-5B9204241C37}</c15:txfldGUID>
                      <c15:f>Risikomgmt!$B$5</c15:f>
                      <c15:dlblFieldTableCache>
                        <c:ptCount val="1"/>
                        <c:pt idx="0">
                          <c:v>R1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5510-45C9-97D0-3E04CDB70E2B}"/>
                </c:ext>
              </c:extLst>
            </c:dLbl>
            <c:dLbl>
              <c:idx val="1"/>
              <c:layout>
                <c:manualLayout>
                  <c:x val="-9.1420880098717461E-2"/>
                  <c:y val="-6.65557636854634E-3"/>
                </c:manualLayout>
              </c:layout>
              <c:tx>
                <c:strRef>
                  <c:f>Risikomgmt!$B$6</c:f>
                  <c:strCache>
                    <c:ptCount val="1"/>
                    <c:pt idx="0">
                      <c:v>R2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{58AEABE8-2B9D-4A85-8E4F-44DB2327565F}</c15:txfldGUID>
                      <c15:f>Risikomgmt!$B$6</c15:f>
                      <c15:dlblFieldTableCache>
                        <c:ptCount val="1"/>
                        <c:pt idx="0">
                          <c:v>R2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5510-45C9-97D0-3E04CDB70E2B}"/>
                </c:ext>
              </c:extLst>
            </c:dLbl>
            <c:dLbl>
              <c:idx val="2"/>
              <c:layout>
                <c:manualLayout>
                  <c:x val="-8.7364085398829242E-2"/>
                  <c:y val="1.331115273709268E-2"/>
                </c:manualLayout>
              </c:layout>
              <c:tx>
                <c:strRef>
                  <c:f>Risikomgmt!$B$7</c:f>
                  <c:strCache>
                    <c:ptCount val="1"/>
                    <c:pt idx="0">
                      <c:v>R3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{9A2BBDEF-C532-4195-B014-9E569953F8AA}</c15:txfldGUID>
                      <c15:f>Risikomgmt!$B$7</c15:f>
                      <c15:dlblFieldTableCache>
                        <c:ptCount val="1"/>
                        <c:pt idx="0">
                          <c:v>R3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5510-45C9-97D0-3E04CDB70E2B}"/>
                </c:ext>
              </c:extLst>
            </c:dLbl>
            <c:dLbl>
              <c:idx val="3"/>
              <c:tx>
                <c:strRef>
                  <c:f>Risikomgmt!$B$8</c:f>
                  <c:strCache>
                    <c:ptCount val="1"/>
                    <c:pt idx="0">
                      <c:v>R4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{D3A7A7B3-A559-4A1A-88DE-6F0B3E099C68}</c15:txfldGUID>
                      <c15:f>Risikomgmt!$B$8</c15:f>
                      <c15:dlblFieldTableCache>
                        <c:ptCount val="1"/>
                        <c:pt idx="0">
                          <c:v>R4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5510-45C9-97D0-3E04CDB70E2B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strRef>
                  <c:f>Risikomgmt!$B$9</c:f>
                  <c:strCache>
                    <c:ptCount val="1"/>
                    <c:pt idx="0">
                      <c:v>R5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{76249014-6686-442E-B357-7AB2A16D09A5}</c15:txfldGUID>
                      <c15:f>Risikomgmt!$B$9</c15:f>
                      <c15:dlblFieldTableCache>
                        <c:ptCount val="1"/>
                        <c:pt idx="0">
                          <c:v>R5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5510-45C9-97D0-3E04CDB70E2B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strRef>
                  <c:f>Risikomgmt!$B$10</c:f>
                  <c:strCache>
                    <c:ptCount val="1"/>
                    <c:pt idx="0">
                      <c:v>R6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{B94A748F-5566-4F4E-9B16-6B99FE1AF71F}</c15:txfldGUID>
                      <c15:f>Risikomgmt!$B$10</c15:f>
                      <c15:dlblFieldTableCache>
                        <c:ptCount val="1"/>
                        <c:pt idx="0">
                          <c:v>R6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5510-45C9-97D0-3E04CDB70E2B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strRef>
                  <c:f>Risikomgmt!$B$11</c:f>
                  <c:strCache>
                    <c:ptCount val="1"/>
                    <c:pt idx="0">
                      <c:v>R7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{EE7674CD-C5A6-4B95-BA28-742CC16D91A8}</c15:txfldGUID>
                      <c15:f>Risikomgmt!$B$11</c15:f>
                      <c15:dlblFieldTableCache>
                        <c:ptCount val="1"/>
                        <c:pt idx="0">
                          <c:v>R7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5510-45C9-97D0-3E04CDB70E2B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strRef>
                  <c:f>Risikomgmt!$B$12</c:f>
                  <c:strCache>
                    <c:ptCount val="1"/>
                    <c:pt idx="0">
                      <c:v>R8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{DA38E9E3-095A-4259-9C3C-663E8DDD02E2}</c15:txfldGUID>
                      <c15:f>Risikomgmt!$B$12</c15:f>
                      <c15:dlblFieldTableCache>
                        <c:ptCount val="1"/>
                        <c:pt idx="0">
                          <c:v>R8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5510-45C9-97D0-3E04CDB70E2B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strRef>
                  <c:f>Risikomgmt!$B$13</c:f>
                  <c:strCache>
                    <c:ptCount val="1"/>
                    <c:pt idx="0">
                      <c:v>R9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{E41B0924-0399-4B30-A0F4-798746AE2527}</c15:txfldGUID>
                      <c15:f>Risikomgmt!$B$13</c15:f>
                      <c15:dlblFieldTableCache>
                        <c:ptCount val="1"/>
                        <c:pt idx="0">
                          <c:v>R9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5510-45C9-97D0-3E04CDB70E2B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strRef>
                  <c:f>Risikomgmt!$B$14</c:f>
                  <c:strCache>
                    <c:ptCount val="1"/>
                    <c:pt idx="0">
                      <c:v>R10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{E07F88B8-0E1F-46C3-A776-5CC81662D658}</c15:txfldGUID>
                      <c15:f>Risikomgmt!$B$14</c15:f>
                      <c15:dlblFieldTableCache>
                        <c:ptCount val="1"/>
                        <c:pt idx="0">
                          <c:v>R10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5510-45C9-97D0-3E04CDB70E2B}"/>
                </c:ext>
              </c:extLst>
            </c:dLbl>
            <c:dLbl>
              <c:idx val="10"/>
              <c:tx>
                <c:strRef>
                  <c:f>Risikomgmt!$B$15</c:f>
                  <c:strCache>
                    <c:ptCount val="1"/>
                    <c:pt idx="0">
                      <c:v>R11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{ECB27EE7-71D0-48BF-99AF-25CD02938B41}</c15:txfldGUID>
                      <c15:f>Risikomgmt!$B$15</c15:f>
                      <c15:dlblFieldTableCache>
                        <c:ptCount val="1"/>
                        <c:pt idx="0">
                          <c:v>R11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5-5510-45C9-97D0-3E04CDB70E2B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strRef>
                  <c:f>Risikomgmt!$B$16</c:f>
                  <c:strCache>
                    <c:ptCount val="1"/>
                    <c:pt idx="0">
                      <c:v>R12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{45F93192-3647-425F-9613-0639D1539A7C}</c15:txfldGUID>
                      <c15:f>Risikomgmt!$B$16</c15:f>
                      <c15:dlblFieldTableCache>
                        <c:ptCount val="1"/>
                        <c:pt idx="0">
                          <c:v>R12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7-5510-45C9-97D0-3E04CDB70E2B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strRef>
                  <c:f>Risikomgmt!$B$17</c:f>
                  <c:strCache>
                    <c:ptCount val="1"/>
                    <c:pt idx="0">
                      <c:v>R13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{40830FD4-4F76-4DAA-9626-600CC4CCC675}</c15:txfldGUID>
                      <c15:f>Risikomgmt!$B$17</c15:f>
                      <c15:dlblFieldTableCache>
                        <c:ptCount val="1"/>
                        <c:pt idx="0">
                          <c:v>R13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9-5510-45C9-97D0-3E04CDB70E2B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strRef>
                  <c:f>Risikomgmt!$B$18</c:f>
                  <c:strCache>
                    <c:ptCount val="1"/>
                    <c:pt idx="0">
                      <c:v>R14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{86082DBD-41B3-4E08-82DC-8BF29F46739D}</c15:txfldGUID>
                      <c15:f>Risikomgmt!$B$18</c15:f>
                      <c15:dlblFieldTableCache>
                        <c:ptCount val="1"/>
                        <c:pt idx="0">
                          <c:v>R14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B-5510-45C9-97D0-3E04CDB70E2B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strRef>
                  <c:f>Risikomgmt!$B$19</c:f>
                  <c:strCache>
                    <c:ptCount val="1"/>
                    <c:pt idx="0">
                      <c:v>R15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{352A071C-D105-4FF8-9F3E-CB5DF934D07D}</c15:txfldGUID>
                      <c15:f>Risikomgmt!$B$19</c15:f>
                      <c15:dlblFieldTableCache>
                        <c:ptCount val="1"/>
                        <c:pt idx="0">
                          <c:v>R15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D-5510-45C9-97D0-3E04CDB70E2B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Risikomgmt!$D$5:$D$19</c:f>
              <c:numCache>
                <c:formatCode>0</c:formatCode>
                <c:ptCount val="15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Risikomgmt!$E$5:$E$19</c:f>
              <c:numCache>
                <c:formatCode>0</c:formatCode>
                <c:ptCount val="15"/>
                <c:pt idx="0">
                  <c:v>9</c:v>
                </c:pt>
                <c:pt idx="1">
                  <c:v>10</c:v>
                </c:pt>
              </c:numCache>
            </c:numRef>
          </c:yVal>
          <c:bubbleSize>
            <c:numRef>
              <c:f>Risikomgmt!$J$5:$J$19</c:f>
              <c:numCache>
                <c:formatCode>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E-5510-45C9-97D0-3E04CDB70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82469616"/>
        <c:axId val="1682470160"/>
      </c:bubbleChart>
      <c:valAx>
        <c:axId val="1682469616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682470160"/>
        <c:crosses val="autoZero"/>
        <c:crossBetween val="midCat"/>
        <c:majorUnit val="1"/>
        <c:minorUnit val="0.1"/>
      </c:valAx>
      <c:valAx>
        <c:axId val="1682470160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68246961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75000"/>
                </a:schemeClr>
              </a:solidFill>
            </a:ln>
            <a:effectLst/>
          </c:spPr>
          <c:val>
            <c:numRef>
              <c:f>Kommunikation!$I$9:$I$18</c:f>
              <c:numCache>
                <c:formatCode>;;;</c:formatCode>
                <c:ptCount val="10"/>
                <c:pt idx="0">
                  <c:v>3</c:v>
                </c:pt>
                <c:pt idx="1">
                  <c:v>4</c:v>
                </c:pt>
                <c:pt idx="2">
                  <c:v>1</c:v>
                </c:pt>
                <c:pt idx="3">
                  <c:v>4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92-4669-8C6B-1A15967E33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1765040"/>
        <c:axId val="1741763952"/>
      </c:radarChart>
      <c:catAx>
        <c:axId val="1741765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63952"/>
        <c:crosses val="autoZero"/>
        <c:auto val="1"/>
        <c:lblAlgn val="ctr"/>
        <c:lblOffset val="100"/>
        <c:noMultiLvlLbl val="0"/>
      </c:catAx>
      <c:valAx>
        <c:axId val="174176395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6504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</c:spPr>
          <c:val>
            <c:numRef>
              <c:f>Kommunikation!$I$22:$I$31</c:f>
              <c:numCache>
                <c:formatCode>;;;</c:formatCode>
                <c:ptCount val="10"/>
                <c:pt idx="0">
                  <c:v>3</c:v>
                </c:pt>
                <c:pt idx="1">
                  <c:v>2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1F-48A6-B80F-DCE4DCFD89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1765584"/>
        <c:axId val="1741753616"/>
      </c:radarChart>
      <c:catAx>
        <c:axId val="1741765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53616"/>
        <c:crosses val="autoZero"/>
        <c:auto val="1"/>
        <c:lblAlgn val="ctr"/>
        <c:lblOffset val="100"/>
        <c:noMultiLvlLbl val="0"/>
      </c:catAx>
      <c:valAx>
        <c:axId val="174175361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6558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</c:spPr>
          <c:val>
            <c:numRef>
              <c:f>Kommunikation!$I$35:$I$44</c:f>
              <c:numCache>
                <c:formatCode>;;;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5C-4EE5-8479-E15D9DEDCA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1766128"/>
        <c:axId val="1741761776"/>
      </c:radarChart>
      <c:catAx>
        <c:axId val="1741766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61776"/>
        <c:crosses val="autoZero"/>
        <c:auto val="1"/>
        <c:lblAlgn val="ctr"/>
        <c:lblOffset val="100"/>
        <c:noMultiLvlLbl val="0"/>
      </c:catAx>
      <c:valAx>
        <c:axId val="174176177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6612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</c:spPr>
          <c:val>
            <c:numRef>
              <c:f>Kommunikation!$I$48:$I$57</c:f>
              <c:numCache>
                <c:formatCode>;;;</c:formatCode>
                <c:ptCount val="10"/>
                <c:pt idx="0">
                  <c:v>3</c:v>
                </c:pt>
                <c:pt idx="1">
                  <c:v>2</c:v>
                </c:pt>
                <c:pt idx="2">
                  <c:v>4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65-4F3F-92FF-D59D54395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1762864"/>
        <c:axId val="1741757424"/>
      </c:radarChart>
      <c:catAx>
        <c:axId val="1741762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57424"/>
        <c:crosses val="autoZero"/>
        <c:auto val="1"/>
        <c:lblAlgn val="ctr"/>
        <c:lblOffset val="100"/>
        <c:noMultiLvlLbl val="0"/>
      </c:catAx>
      <c:valAx>
        <c:axId val="1741757424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6286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</c:spPr>
          <c:val>
            <c:numRef>
              <c:f>Kommunikation!$I$61:$I$70</c:f>
              <c:numCache>
                <c:formatCode>;;;</c:formatCode>
                <c:ptCount val="10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A2-4B04-A5D4-AE3E7EEB96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1755248"/>
        <c:axId val="1741762320"/>
      </c:radarChart>
      <c:catAx>
        <c:axId val="1741755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62320"/>
        <c:crosses val="autoZero"/>
        <c:auto val="1"/>
        <c:lblAlgn val="ctr"/>
        <c:lblOffset val="100"/>
        <c:noMultiLvlLbl val="0"/>
      </c:catAx>
      <c:valAx>
        <c:axId val="1741762320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5524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</c:spPr>
          <c:val>
            <c:numRef>
              <c:f>Kommunikation!$I$74:$I$83</c:f>
              <c:numCache>
                <c:formatCode>;;;</c:formatCode>
                <c:ptCount val="10"/>
                <c:pt idx="0">
                  <c:v>1</c:v>
                </c:pt>
                <c:pt idx="1">
                  <c:v>3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11-44B0-92B0-6E909668D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1754160"/>
        <c:axId val="1741759600"/>
      </c:radarChart>
      <c:catAx>
        <c:axId val="1741754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59600"/>
        <c:crosses val="autoZero"/>
        <c:auto val="1"/>
        <c:lblAlgn val="ctr"/>
        <c:lblOffset val="100"/>
        <c:noMultiLvlLbl val="0"/>
      </c:catAx>
      <c:valAx>
        <c:axId val="1741759600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5416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4">
                      <a:lumMod val="50000"/>
                    </a:schemeClr>
                  </a:gs>
                  <a:gs pos="35000">
                    <a:schemeClr val="accent4">
                      <a:lumMod val="60000"/>
                      <a:lumOff val="40000"/>
                    </a:schemeClr>
                  </a:gs>
                  <a:gs pos="100000">
                    <a:schemeClr val="accent4">
                      <a:lumMod val="20000"/>
                      <a:lumOff val="80000"/>
                    </a:schemeClr>
                  </a:gs>
                </a:gsLst>
                <a:lin ang="16200000" scaled="1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045-4D14-9986-0E9EE4EED10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Budget!$F$5:$P$5</c:f>
              <c:strCache>
                <c:ptCount val="11"/>
                <c:pt idx="0">
                  <c:v>DOIT  2015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</c:strCache>
            </c:strRef>
          </c:cat>
          <c:val>
            <c:numRef>
              <c:f>Budget!$F$66:$P$66</c:f>
              <c:numCache>
                <c:formatCode>_ [$Fr.-807]\ * #,##0_ ;_ [$Fr.-807]\ * \-#,##0_ ;_ [$Fr.-807]\ * "-"_ ;_ @_ </c:formatCode>
                <c:ptCount val="11"/>
                <c:pt idx="0">
                  <c:v>180</c:v>
                </c:pt>
                <c:pt idx="1">
                  <c:v>130</c:v>
                </c:pt>
                <c:pt idx="2">
                  <c:v>150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045-4D14-9986-0E9EE4EED1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41758512"/>
        <c:axId val="1741760144"/>
      </c:barChart>
      <c:catAx>
        <c:axId val="174175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60144"/>
        <c:crosses val="autoZero"/>
        <c:auto val="1"/>
        <c:lblAlgn val="ctr"/>
        <c:lblOffset val="100"/>
        <c:noMultiLvlLbl val="0"/>
      </c:catAx>
      <c:valAx>
        <c:axId val="174176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[$Fr.-807]\ * #,##0_ ;_ [$Fr.-807]\ * \-#,##0_ ;_ [$Fr.-807]\ * &quot;-&quot;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1758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 paperSize="9" orientation="landscape" horizontalDpi="1200" verticalDpi="12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Drop" dropLines="3" dropStyle="combo" dx="16" fmlaLink="' '!$B$4" fmlaRange="' '!$Z$6:$Z$8" noThreeD="1" sel="2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Zielgruppe!A1"/><Relationship Id="rId13" Type="http://schemas.openxmlformats.org/officeDocument/2006/relationships/hyperlink" Target="#Logo!D6"/><Relationship Id="rId3" Type="http://schemas.openxmlformats.org/officeDocument/2006/relationships/hyperlink" Target="#Stakeholder!A1"/><Relationship Id="rId7" Type="http://schemas.openxmlformats.org/officeDocument/2006/relationships/hyperlink" Target="#'2Cockpit'!N7"/><Relationship Id="rId12" Type="http://schemas.openxmlformats.org/officeDocument/2006/relationships/hyperlink" Target="#Budget!A1"/><Relationship Id="rId2" Type="http://schemas.openxmlformats.org/officeDocument/2006/relationships/hyperlink" Target="http://www.2imanagement.ch/?id=57&amp;helpdesk&amp;topic=120" TargetMode="External"/><Relationship Id="rId1" Type="http://schemas.openxmlformats.org/officeDocument/2006/relationships/image" Target="../media/image1.jpeg"/><Relationship Id="rId6" Type="http://schemas.openxmlformats.org/officeDocument/2006/relationships/hyperlink" Target="#Massnahmen!C7"/><Relationship Id="rId11" Type="http://schemas.openxmlformats.org/officeDocument/2006/relationships/hyperlink" Target="#Massnahmen!P7"/><Relationship Id="rId5" Type="http://schemas.openxmlformats.org/officeDocument/2006/relationships/hyperlink" Target="#'Swot-Analyse'!A1"/><Relationship Id="rId10" Type="http://schemas.openxmlformats.org/officeDocument/2006/relationships/hyperlink" Target="#Kommunikationsquadrat!A1"/><Relationship Id="rId4" Type="http://schemas.openxmlformats.org/officeDocument/2006/relationships/hyperlink" Target="#PESTLE!A1"/><Relationship Id="rId9" Type="http://schemas.openxmlformats.org/officeDocument/2006/relationships/hyperlink" Target="#Risikomgmt!A1"/><Relationship Id="rId14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5.png"/><Relationship Id="rId7" Type="http://schemas.openxmlformats.org/officeDocument/2006/relationships/hyperlink" Target="#Menu!A1"/><Relationship Id="rId2" Type="http://schemas.openxmlformats.org/officeDocument/2006/relationships/image" Target="../media/image4.jpeg"/><Relationship Id="rId1" Type="http://schemas.openxmlformats.org/officeDocument/2006/relationships/hyperlink" Target="http://www.2imanagement.ch/?id=57&amp;helpdesk&amp;topic=120" TargetMode="External"/><Relationship Id="rId6" Type="http://schemas.openxmlformats.org/officeDocument/2006/relationships/image" Target="../media/image8.jpeg"/><Relationship Id="rId5" Type="http://schemas.openxmlformats.org/officeDocument/2006/relationships/image" Target="../media/image7.jpg"/><Relationship Id="rId4" Type="http://schemas.openxmlformats.org/officeDocument/2006/relationships/image" Target="../media/image6.jpeg"/><Relationship Id="rId9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.xml"/><Relationship Id="rId3" Type="http://schemas.openxmlformats.org/officeDocument/2006/relationships/hyperlink" Target="#Menu!A1"/><Relationship Id="rId7" Type="http://schemas.openxmlformats.org/officeDocument/2006/relationships/hyperlink" Target="#graph_2_stakeholder"/><Relationship Id="rId2" Type="http://schemas.openxmlformats.org/officeDocument/2006/relationships/image" Target="../media/image10.gif"/><Relationship Id="rId1" Type="http://schemas.openxmlformats.org/officeDocument/2006/relationships/hyperlink" Target="#graph_stakeholder"/><Relationship Id="rId6" Type="http://schemas.openxmlformats.org/officeDocument/2006/relationships/hyperlink" Target="#Stakeholder!C5"/><Relationship Id="rId5" Type="http://schemas.openxmlformats.org/officeDocument/2006/relationships/hyperlink" Target="http://www.2imanagement.ch/?id=57&amp;helpdesk&amp;topic=120" TargetMode="External"/><Relationship Id="rId4" Type="http://schemas.openxmlformats.org/officeDocument/2006/relationships/image" Target="../media/image9.png"/><Relationship Id="rId9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top"/><Relationship Id="rId3" Type="http://schemas.openxmlformats.org/officeDocument/2006/relationships/hyperlink" Target="#PESTLE!C48"/><Relationship Id="rId7" Type="http://schemas.openxmlformats.org/officeDocument/2006/relationships/hyperlink" Target="#PESTLE!C17"/><Relationship Id="rId12" Type="http://schemas.openxmlformats.org/officeDocument/2006/relationships/image" Target="../media/image2.emf"/><Relationship Id="rId2" Type="http://schemas.openxmlformats.org/officeDocument/2006/relationships/hyperlink" Target="#PESTLE!C34"/><Relationship Id="rId1" Type="http://schemas.openxmlformats.org/officeDocument/2006/relationships/chart" Target="../charts/chart2.xml"/><Relationship Id="rId6" Type="http://schemas.openxmlformats.org/officeDocument/2006/relationships/hyperlink" Target="#PESTLE!C90"/><Relationship Id="rId11" Type="http://schemas.openxmlformats.org/officeDocument/2006/relationships/hyperlink" Target="http://www.2imanagement.ch/?id=57&amp;helpdesk&amp;topic=120" TargetMode="External"/><Relationship Id="rId5" Type="http://schemas.openxmlformats.org/officeDocument/2006/relationships/hyperlink" Target="#PESTLE!C76"/><Relationship Id="rId10" Type="http://schemas.openxmlformats.org/officeDocument/2006/relationships/image" Target="../media/image9.png"/><Relationship Id="rId4" Type="http://schemas.openxmlformats.org/officeDocument/2006/relationships/hyperlink" Target="#PESTLE!C62"/><Relationship Id="rId9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3" Type="http://schemas.openxmlformats.org/officeDocument/2006/relationships/image" Target="../media/image9.png"/><Relationship Id="rId7" Type="http://schemas.openxmlformats.org/officeDocument/2006/relationships/chart" Target="../charts/chart4.xml"/><Relationship Id="rId2" Type="http://schemas.openxmlformats.org/officeDocument/2006/relationships/hyperlink" Target="#Menu!A1"/><Relationship Id="rId1" Type="http://schemas.openxmlformats.org/officeDocument/2006/relationships/hyperlink" Target="http://www.2imanagement.ch/?id=57&amp;helpdesk&amp;topic=120" TargetMode="External"/><Relationship Id="rId6" Type="http://schemas.openxmlformats.org/officeDocument/2006/relationships/image" Target="../media/image11.emf"/><Relationship Id="rId5" Type="http://schemas.openxmlformats.org/officeDocument/2006/relationships/chart" Target="../charts/chart3.xml"/><Relationship Id="rId10" Type="http://schemas.openxmlformats.org/officeDocument/2006/relationships/image" Target="../media/image2.emf"/><Relationship Id="rId4" Type="http://schemas.openxmlformats.org/officeDocument/2006/relationships/hyperlink" Target="#top_swot"/><Relationship Id="rId9" Type="http://schemas.openxmlformats.org/officeDocument/2006/relationships/hyperlink" Target="#Benchmark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120" TargetMode="External"/><Relationship Id="rId2" Type="http://schemas.openxmlformats.org/officeDocument/2006/relationships/chart" Target="../charts/chart5.xml"/><Relationship Id="rId1" Type="http://schemas.openxmlformats.org/officeDocument/2006/relationships/image" Target="../media/image15.emf"/><Relationship Id="rId5" Type="http://schemas.openxmlformats.org/officeDocument/2006/relationships/image" Target="../media/image2.emf"/><Relationship Id="rId4" Type="http://schemas.openxmlformats.org/officeDocument/2006/relationships/hyperlink" Target="#'Swot-Analyse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Strategie_1"/><Relationship Id="rId2" Type="http://schemas.openxmlformats.org/officeDocument/2006/relationships/image" Target="../media/image9.png"/><Relationship Id="rId1" Type="http://schemas.openxmlformats.org/officeDocument/2006/relationships/hyperlink" Target="#Menu!A1"/><Relationship Id="rId6" Type="http://schemas.openxmlformats.org/officeDocument/2006/relationships/image" Target="../media/image2.emf"/><Relationship Id="rId5" Type="http://schemas.openxmlformats.org/officeDocument/2006/relationships/hyperlink" Target="#Zielgruppe!A1"/><Relationship Id="rId4" Type="http://schemas.openxmlformats.org/officeDocument/2006/relationships/hyperlink" Target="http://www.2imanagement.ch/?id=57&amp;helpdesk&amp;topic=120" TargetMode="Externa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Empathy!A1"/><Relationship Id="rId3" Type="http://schemas.openxmlformats.org/officeDocument/2006/relationships/image" Target="../media/image9.png"/><Relationship Id="rId7" Type="http://schemas.openxmlformats.org/officeDocument/2006/relationships/hyperlink" Target="#Distribution!A1"/><Relationship Id="rId2" Type="http://schemas.openxmlformats.org/officeDocument/2006/relationships/hyperlink" Target="#Menu!A1"/><Relationship Id="rId1" Type="http://schemas.openxmlformats.org/officeDocument/2006/relationships/hyperlink" Target="http://www.2imanagement.ch/?id=57&amp;helpdesk&amp;topic=120" TargetMode="External"/><Relationship Id="rId6" Type="http://schemas.openxmlformats.org/officeDocument/2006/relationships/hyperlink" Target="#Zielgruppe!C5"/><Relationship Id="rId5" Type="http://schemas.openxmlformats.org/officeDocument/2006/relationships/image" Target="../media/image10.gif"/><Relationship Id="rId10" Type="http://schemas.openxmlformats.org/officeDocument/2006/relationships/image" Target="../media/image2.emf"/><Relationship Id="rId4" Type="http://schemas.openxmlformats.org/officeDocument/2006/relationships/hyperlink" Target="#Graph_Produkte"/><Relationship Id="rId9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Zielgruppe!A1"/><Relationship Id="rId2" Type="http://schemas.openxmlformats.org/officeDocument/2006/relationships/hyperlink" Target="#Distribution!top_distribution"/><Relationship Id="rId1" Type="http://schemas.openxmlformats.org/officeDocument/2006/relationships/hyperlink" Target="http://www.2imanagement.ch/?id=57&amp;helpdesk&amp;topic=120" TargetMode="External"/><Relationship Id="rId4" Type="http://schemas.openxmlformats.org/officeDocument/2006/relationships/image" Target="../media/image2.e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Zielgruppe!A1"/><Relationship Id="rId2" Type="http://schemas.openxmlformats.org/officeDocument/2006/relationships/hyperlink" Target="#top_markt"/><Relationship Id="rId1" Type="http://schemas.openxmlformats.org/officeDocument/2006/relationships/hyperlink" Target="http://www.2imanagement.ch/?id=57&amp;helpdesk&amp;topic=120" TargetMode="External"/><Relationship Id="rId4" Type="http://schemas.openxmlformats.org/officeDocument/2006/relationships/image" Target="../media/image2.emf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9.png"/><Relationship Id="rId7" Type="http://schemas.openxmlformats.org/officeDocument/2006/relationships/chart" Target="../charts/chart7.xml"/><Relationship Id="rId2" Type="http://schemas.openxmlformats.org/officeDocument/2006/relationships/hyperlink" Target="#Menu!A1"/><Relationship Id="rId1" Type="http://schemas.openxmlformats.org/officeDocument/2006/relationships/hyperlink" Target="http://www.2imanagement.ch/?id=57&amp;helpdesk&amp;topic=120" TargetMode="External"/><Relationship Id="rId6" Type="http://schemas.openxmlformats.org/officeDocument/2006/relationships/image" Target="../media/image10.gif"/><Relationship Id="rId5" Type="http://schemas.openxmlformats.org/officeDocument/2006/relationships/hyperlink" Target="#Graph_Risk"/><Relationship Id="rId4" Type="http://schemas.openxmlformats.org/officeDocument/2006/relationships/hyperlink" Target="#Risikomgmt!C5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Kommunikation!C37"/><Relationship Id="rId13" Type="http://schemas.openxmlformats.org/officeDocument/2006/relationships/hyperlink" Target="#Kommunikation!C79"/><Relationship Id="rId3" Type="http://schemas.openxmlformats.org/officeDocument/2006/relationships/chart" Target="../charts/chart8.xml"/><Relationship Id="rId7" Type="http://schemas.openxmlformats.org/officeDocument/2006/relationships/chart" Target="../charts/chart10.xml"/><Relationship Id="rId12" Type="http://schemas.openxmlformats.org/officeDocument/2006/relationships/hyperlink" Target="#Kommunikation!C65"/><Relationship Id="rId17" Type="http://schemas.openxmlformats.org/officeDocument/2006/relationships/image" Target="../media/image2.emf"/><Relationship Id="rId2" Type="http://schemas.openxmlformats.org/officeDocument/2006/relationships/hyperlink" Target="#top_Porter"/><Relationship Id="rId16" Type="http://schemas.openxmlformats.org/officeDocument/2006/relationships/image" Target="../media/image9.png"/><Relationship Id="rId1" Type="http://schemas.openxmlformats.org/officeDocument/2006/relationships/hyperlink" Target="http://www.2imanagement.ch/?id=57&amp;helpdesk&amp;topic=120" TargetMode="External"/><Relationship Id="rId6" Type="http://schemas.openxmlformats.org/officeDocument/2006/relationships/hyperlink" Target="#Kommunikation!C23"/><Relationship Id="rId11" Type="http://schemas.openxmlformats.org/officeDocument/2006/relationships/chart" Target="../charts/chart12.xml"/><Relationship Id="rId5" Type="http://schemas.openxmlformats.org/officeDocument/2006/relationships/chart" Target="../charts/chart9.xml"/><Relationship Id="rId15" Type="http://schemas.openxmlformats.org/officeDocument/2006/relationships/hyperlink" Target="#Menu!A1"/><Relationship Id="rId10" Type="http://schemas.openxmlformats.org/officeDocument/2006/relationships/hyperlink" Target="#Kommunikation!C51"/><Relationship Id="rId4" Type="http://schemas.openxmlformats.org/officeDocument/2006/relationships/hyperlink" Target="#Kommunikation!C7"/><Relationship Id="rId9" Type="http://schemas.openxmlformats.org/officeDocument/2006/relationships/chart" Target="../charts/chart11.xml"/><Relationship Id="rId14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9.png"/><Relationship Id="rId7" Type="http://schemas.openxmlformats.org/officeDocument/2006/relationships/hyperlink" Target="#Budget!C7"/><Relationship Id="rId2" Type="http://schemas.openxmlformats.org/officeDocument/2006/relationships/hyperlink" Target="#Menu!A1"/><Relationship Id="rId1" Type="http://schemas.openxmlformats.org/officeDocument/2006/relationships/hyperlink" Target="http://www.2imanagement.ch/?id=57&amp;helpdesk&amp;topic=120" TargetMode="External"/><Relationship Id="rId6" Type="http://schemas.openxmlformats.org/officeDocument/2006/relationships/chart" Target="../charts/chart14.xml"/><Relationship Id="rId5" Type="http://schemas.openxmlformats.org/officeDocument/2006/relationships/image" Target="../media/image10.gif"/><Relationship Id="rId4" Type="http://schemas.openxmlformats.org/officeDocument/2006/relationships/hyperlink" Target="#Budget!A96"/></Relationships>
</file>

<file path=xl/drawings/_rels/drawing14.xml.rels><?xml version="1.0" encoding="UTF-8" standalone="yes"?>
<Relationships xmlns="http://schemas.openxmlformats.org/package/2006/relationships"><Relationship Id="rId13" Type="http://schemas.openxmlformats.org/officeDocument/2006/relationships/hyperlink" Target="#__s13"/><Relationship Id="rId18" Type="http://schemas.openxmlformats.org/officeDocument/2006/relationships/hyperlink" Target="#__s18"/><Relationship Id="rId26" Type="http://schemas.openxmlformats.org/officeDocument/2006/relationships/hyperlink" Target="#__s26"/><Relationship Id="rId39" Type="http://schemas.openxmlformats.org/officeDocument/2006/relationships/hyperlink" Target="#__s39"/><Relationship Id="rId21" Type="http://schemas.openxmlformats.org/officeDocument/2006/relationships/hyperlink" Target="#__s21"/><Relationship Id="rId34" Type="http://schemas.openxmlformats.org/officeDocument/2006/relationships/hyperlink" Target="#__s34"/><Relationship Id="rId42" Type="http://schemas.openxmlformats.org/officeDocument/2006/relationships/image" Target="../media/image2.emf"/><Relationship Id="rId7" Type="http://schemas.openxmlformats.org/officeDocument/2006/relationships/hyperlink" Target="#__s7"/><Relationship Id="rId2" Type="http://schemas.openxmlformats.org/officeDocument/2006/relationships/hyperlink" Target="#__s2"/><Relationship Id="rId16" Type="http://schemas.openxmlformats.org/officeDocument/2006/relationships/hyperlink" Target="#__s16"/><Relationship Id="rId20" Type="http://schemas.openxmlformats.org/officeDocument/2006/relationships/hyperlink" Target="#__s20"/><Relationship Id="rId29" Type="http://schemas.openxmlformats.org/officeDocument/2006/relationships/hyperlink" Target="#__s29"/><Relationship Id="rId41" Type="http://schemas.openxmlformats.org/officeDocument/2006/relationships/hyperlink" Target="http://www.2imanagement.ch/?id=57&amp;helpdesk&amp;topic=120" TargetMode="External"/><Relationship Id="rId1" Type="http://schemas.openxmlformats.org/officeDocument/2006/relationships/hyperlink" Target="#__s1"/><Relationship Id="rId6" Type="http://schemas.openxmlformats.org/officeDocument/2006/relationships/hyperlink" Target="#__s6"/><Relationship Id="rId11" Type="http://schemas.openxmlformats.org/officeDocument/2006/relationships/hyperlink" Target="#__s11"/><Relationship Id="rId24" Type="http://schemas.openxmlformats.org/officeDocument/2006/relationships/hyperlink" Target="#__s24"/><Relationship Id="rId32" Type="http://schemas.openxmlformats.org/officeDocument/2006/relationships/hyperlink" Target="#__s32"/><Relationship Id="rId37" Type="http://schemas.openxmlformats.org/officeDocument/2006/relationships/hyperlink" Target="#__s37"/><Relationship Id="rId40" Type="http://schemas.openxmlformats.org/officeDocument/2006/relationships/hyperlink" Target="#__s40"/><Relationship Id="rId5" Type="http://schemas.openxmlformats.org/officeDocument/2006/relationships/hyperlink" Target="#__s5"/><Relationship Id="rId15" Type="http://schemas.openxmlformats.org/officeDocument/2006/relationships/hyperlink" Target="#__s15"/><Relationship Id="rId23" Type="http://schemas.openxmlformats.org/officeDocument/2006/relationships/hyperlink" Target="#__s23"/><Relationship Id="rId28" Type="http://schemas.openxmlformats.org/officeDocument/2006/relationships/hyperlink" Target="#__s28"/><Relationship Id="rId36" Type="http://schemas.openxmlformats.org/officeDocument/2006/relationships/hyperlink" Target="#__s36"/><Relationship Id="rId10" Type="http://schemas.openxmlformats.org/officeDocument/2006/relationships/hyperlink" Target="#__s10"/><Relationship Id="rId19" Type="http://schemas.openxmlformats.org/officeDocument/2006/relationships/hyperlink" Target="#__s19"/><Relationship Id="rId31" Type="http://schemas.openxmlformats.org/officeDocument/2006/relationships/hyperlink" Target="#__s31"/><Relationship Id="rId4" Type="http://schemas.openxmlformats.org/officeDocument/2006/relationships/hyperlink" Target="#__s4"/><Relationship Id="rId9" Type="http://schemas.openxmlformats.org/officeDocument/2006/relationships/hyperlink" Target="#__s9"/><Relationship Id="rId14" Type="http://schemas.openxmlformats.org/officeDocument/2006/relationships/hyperlink" Target="#__s14"/><Relationship Id="rId22" Type="http://schemas.openxmlformats.org/officeDocument/2006/relationships/hyperlink" Target="#__s22"/><Relationship Id="rId27" Type="http://schemas.openxmlformats.org/officeDocument/2006/relationships/hyperlink" Target="#__s27"/><Relationship Id="rId30" Type="http://schemas.openxmlformats.org/officeDocument/2006/relationships/hyperlink" Target="#__s30"/><Relationship Id="rId35" Type="http://schemas.openxmlformats.org/officeDocument/2006/relationships/hyperlink" Target="#__s35"/><Relationship Id="rId8" Type="http://schemas.openxmlformats.org/officeDocument/2006/relationships/hyperlink" Target="#__s8"/><Relationship Id="rId3" Type="http://schemas.openxmlformats.org/officeDocument/2006/relationships/hyperlink" Target="#__s3"/><Relationship Id="rId12" Type="http://schemas.openxmlformats.org/officeDocument/2006/relationships/hyperlink" Target="#__s12"/><Relationship Id="rId17" Type="http://schemas.openxmlformats.org/officeDocument/2006/relationships/hyperlink" Target="#__s17"/><Relationship Id="rId25" Type="http://schemas.openxmlformats.org/officeDocument/2006/relationships/hyperlink" Target="#__s25"/><Relationship Id="rId33" Type="http://schemas.openxmlformats.org/officeDocument/2006/relationships/hyperlink" Target="#__s33"/><Relationship Id="rId38" Type="http://schemas.openxmlformats.org/officeDocument/2006/relationships/hyperlink" Target="#__s38"/></Relationships>
</file>

<file path=xl/drawings/_rels/drawing15.xml.rels><?xml version="1.0" encoding="UTF-8" standalone="yes"?>
<Relationships xmlns="http://schemas.openxmlformats.org/package/2006/relationships"><Relationship Id="rId26" Type="http://schemas.openxmlformats.org/officeDocument/2006/relationships/hyperlink" Target="#_o26"/><Relationship Id="rId21" Type="http://schemas.openxmlformats.org/officeDocument/2006/relationships/hyperlink" Target="#_o21"/><Relationship Id="rId42" Type="http://schemas.openxmlformats.org/officeDocument/2006/relationships/hyperlink" Target="#_o43"/><Relationship Id="rId47" Type="http://schemas.openxmlformats.org/officeDocument/2006/relationships/hyperlink" Target="#_o48"/><Relationship Id="rId63" Type="http://schemas.openxmlformats.org/officeDocument/2006/relationships/hyperlink" Target="#_o64"/><Relationship Id="rId68" Type="http://schemas.openxmlformats.org/officeDocument/2006/relationships/hyperlink" Target="#_o69"/><Relationship Id="rId16" Type="http://schemas.openxmlformats.org/officeDocument/2006/relationships/hyperlink" Target="#_o16"/><Relationship Id="rId11" Type="http://schemas.openxmlformats.org/officeDocument/2006/relationships/hyperlink" Target="#_o11"/><Relationship Id="rId32" Type="http://schemas.openxmlformats.org/officeDocument/2006/relationships/hyperlink" Target="#_o32"/><Relationship Id="rId37" Type="http://schemas.openxmlformats.org/officeDocument/2006/relationships/hyperlink" Target="#_o37"/><Relationship Id="rId53" Type="http://schemas.openxmlformats.org/officeDocument/2006/relationships/hyperlink" Target="#_o54"/><Relationship Id="rId58" Type="http://schemas.openxmlformats.org/officeDocument/2006/relationships/hyperlink" Target="#_o59"/><Relationship Id="rId74" Type="http://schemas.openxmlformats.org/officeDocument/2006/relationships/hyperlink" Target="#_o75"/><Relationship Id="rId79" Type="http://schemas.openxmlformats.org/officeDocument/2006/relationships/hyperlink" Target="#_o80"/><Relationship Id="rId5" Type="http://schemas.openxmlformats.org/officeDocument/2006/relationships/hyperlink" Target="#_o5"/><Relationship Id="rId61" Type="http://schemas.openxmlformats.org/officeDocument/2006/relationships/hyperlink" Target="#_o62"/><Relationship Id="rId82" Type="http://schemas.openxmlformats.org/officeDocument/2006/relationships/image" Target="../media/image2.emf"/><Relationship Id="rId19" Type="http://schemas.openxmlformats.org/officeDocument/2006/relationships/hyperlink" Target="#_o19"/><Relationship Id="rId14" Type="http://schemas.openxmlformats.org/officeDocument/2006/relationships/hyperlink" Target="#_o14"/><Relationship Id="rId22" Type="http://schemas.openxmlformats.org/officeDocument/2006/relationships/hyperlink" Target="#_o22"/><Relationship Id="rId27" Type="http://schemas.openxmlformats.org/officeDocument/2006/relationships/hyperlink" Target="#_o27"/><Relationship Id="rId30" Type="http://schemas.openxmlformats.org/officeDocument/2006/relationships/hyperlink" Target="#_o30"/><Relationship Id="rId35" Type="http://schemas.openxmlformats.org/officeDocument/2006/relationships/hyperlink" Target="#_o35"/><Relationship Id="rId43" Type="http://schemas.openxmlformats.org/officeDocument/2006/relationships/hyperlink" Target="#_o44"/><Relationship Id="rId48" Type="http://schemas.openxmlformats.org/officeDocument/2006/relationships/hyperlink" Target="#_o49"/><Relationship Id="rId56" Type="http://schemas.openxmlformats.org/officeDocument/2006/relationships/hyperlink" Target="#_o57"/><Relationship Id="rId64" Type="http://schemas.openxmlformats.org/officeDocument/2006/relationships/hyperlink" Target="#_o65"/><Relationship Id="rId69" Type="http://schemas.openxmlformats.org/officeDocument/2006/relationships/hyperlink" Target="#_o70"/><Relationship Id="rId77" Type="http://schemas.openxmlformats.org/officeDocument/2006/relationships/hyperlink" Target="#_o78"/><Relationship Id="rId8" Type="http://schemas.openxmlformats.org/officeDocument/2006/relationships/hyperlink" Target="#_o8"/><Relationship Id="rId51" Type="http://schemas.openxmlformats.org/officeDocument/2006/relationships/hyperlink" Target="#_o52"/><Relationship Id="rId72" Type="http://schemas.openxmlformats.org/officeDocument/2006/relationships/hyperlink" Target="#_o73"/><Relationship Id="rId80" Type="http://schemas.openxmlformats.org/officeDocument/2006/relationships/hyperlink" Target="#_o41"/><Relationship Id="rId3" Type="http://schemas.openxmlformats.org/officeDocument/2006/relationships/hyperlink" Target="#_o3"/><Relationship Id="rId12" Type="http://schemas.openxmlformats.org/officeDocument/2006/relationships/hyperlink" Target="#_o12"/><Relationship Id="rId17" Type="http://schemas.openxmlformats.org/officeDocument/2006/relationships/hyperlink" Target="#_o17"/><Relationship Id="rId25" Type="http://schemas.openxmlformats.org/officeDocument/2006/relationships/hyperlink" Target="#_o25"/><Relationship Id="rId33" Type="http://schemas.openxmlformats.org/officeDocument/2006/relationships/hyperlink" Target="#_o33"/><Relationship Id="rId38" Type="http://schemas.openxmlformats.org/officeDocument/2006/relationships/hyperlink" Target="#_o38"/><Relationship Id="rId46" Type="http://schemas.openxmlformats.org/officeDocument/2006/relationships/hyperlink" Target="#_o47"/><Relationship Id="rId59" Type="http://schemas.openxmlformats.org/officeDocument/2006/relationships/hyperlink" Target="#_o60"/><Relationship Id="rId67" Type="http://schemas.openxmlformats.org/officeDocument/2006/relationships/hyperlink" Target="#_o68"/><Relationship Id="rId20" Type="http://schemas.openxmlformats.org/officeDocument/2006/relationships/hyperlink" Target="#_o20"/><Relationship Id="rId41" Type="http://schemas.openxmlformats.org/officeDocument/2006/relationships/hyperlink" Target="#_o42"/><Relationship Id="rId54" Type="http://schemas.openxmlformats.org/officeDocument/2006/relationships/hyperlink" Target="#_o55"/><Relationship Id="rId62" Type="http://schemas.openxmlformats.org/officeDocument/2006/relationships/hyperlink" Target="#_o63"/><Relationship Id="rId70" Type="http://schemas.openxmlformats.org/officeDocument/2006/relationships/hyperlink" Target="#_o71"/><Relationship Id="rId75" Type="http://schemas.openxmlformats.org/officeDocument/2006/relationships/hyperlink" Target="#_o76"/><Relationship Id="rId1" Type="http://schemas.openxmlformats.org/officeDocument/2006/relationships/hyperlink" Target="#_o1"/><Relationship Id="rId6" Type="http://schemas.openxmlformats.org/officeDocument/2006/relationships/hyperlink" Target="#_o6"/><Relationship Id="rId15" Type="http://schemas.openxmlformats.org/officeDocument/2006/relationships/hyperlink" Target="#_o15"/><Relationship Id="rId23" Type="http://schemas.openxmlformats.org/officeDocument/2006/relationships/hyperlink" Target="#_o23"/><Relationship Id="rId28" Type="http://schemas.openxmlformats.org/officeDocument/2006/relationships/hyperlink" Target="#_o28"/><Relationship Id="rId36" Type="http://schemas.openxmlformats.org/officeDocument/2006/relationships/hyperlink" Target="#_o36"/><Relationship Id="rId49" Type="http://schemas.openxmlformats.org/officeDocument/2006/relationships/hyperlink" Target="#_o50"/><Relationship Id="rId57" Type="http://schemas.openxmlformats.org/officeDocument/2006/relationships/hyperlink" Target="#_o58"/><Relationship Id="rId10" Type="http://schemas.openxmlformats.org/officeDocument/2006/relationships/hyperlink" Target="#_o10"/><Relationship Id="rId31" Type="http://schemas.openxmlformats.org/officeDocument/2006/relationships/hyperlink" Target="#_o31"/><Relationship Id="rId44" Type="http://schemas.openxmlformats.org/officeDocument/2006/relationships/hyperlink" Target="#_o45"/><Relationship Id="rId52" Type="http://schemas.openxmlformats.org/officeDocument/2006/relationships/hyperlink" Target="#_o53"/><Relationship Id="rId60" Type="http://schemas.openxmlformats.org/officeDocument/2006/relationships/hyperlink" Target="#_o61"/><Relationship Id="rId65" Type="http://schemas.openxmlformats.org/officeDocument/2006/relationships/hyperlink" Target="#_o66"/><Relationship Id="rId73" Type="http://schemas.openxmlformats.org/officeDocument/2006/relationships/hyperlink" Target="#_o74"/><Relationship Id="rId78" Type="http://schemas.openxmlformats.org/officeDocument/2006/relationships/hyperlink" Target="#_o79"/><Relationship Id="rId81" Type="http://schemas.openxmlformats.org/officeDocument/2006/relationships/hyperlink" Target="http://www.2imanagement.ch/?id=57&amp;helpdesk&amp;topic=120" TargetMode="External"/><Relationship Id="rId4" Type="http://schemas.openxmlformats.org/officeDocument/2006/relationships/hyperlink" Target="#_o4"/><Relationship Id="rId9" Type="http://schemas.openxmlformats.org/officeDocument/2006/relationships/hyperlink" Target="#_o9"/><Relationship Id="rId13" Type="http://schemas.openxmlformats.org/officeDocument/2006/relationships/hyperlink" Target="#_o13"/><Relationship Id="rId18" Type="http://schemas.openxmlformats.org/officeDocument/2006/relationships/hyperlink" Target="#_o18"/><Relationship Id="rId39" Type="http://schemas.openxmlformats.org/officeDocument/2006/relationships/hyperlink" Target="#_o39"/><Relationship Id="rId34" Type="http://schemas.openxmlformats.org/officeDocument/2006/relationships/hyperlink" Target="#_o34"/><Relationship Id="rId50" Type="http://schemas.openxmlformats.org/officeDocument/2006/relationships/hyperlink" Target="#_o51"/><Relationship Id="rId55" Type="http://schemas.openxmlformats.org/officeDocument/2006/relationships/hyperlink" Target="#_o56"/><Relationship Id="rId76" Type="http://schemas.openxmlformats.org/officeDocument/2006/relationships/hyperlink" Target="#_o77"/><Relationship Id="rId7" Type="http://schemas.openxmlformats.org/officeDocument/2006/relationships/hyperlink" Target="#_o7"/><Relationship Id="rId71" Type="http://schemas.openxmlformats.org/officeDocument/2006/relationships/hyperlink" Target="#_o72"/><Relationship Id="rId2" Type="http://schemas.openxmlformats.org/officeDocument/2006/relationships/hyperlink" Target="#_o2"/><Relationship Id="rId29" Type="http://schemas.openxmlformats.org/officeDocument/2006/relationships/hyperlink" Target="#_o29"/><Relationship Id="rId24" Type="http://schemas.openxmlformats.org/officeDocument/2006/relationships/hyperlink" Target="#_o24"/><Relationship Id="rId40" Type="http://schemas.openxmlformats.org/officeDocument/2006/relationships/hyperlink" Target="#_o40"/><Relationship Id="rId45" Type="http://schemas.openxmlformats.org/officeDocument/2006/relationships/hyperlink" Target="#_o46"/><Relationship Id="rId66" Type="http://schemas.openxmlformats.org/officeDocument/2006/relationships/hyperlink" Target="#_o67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7" Type="http://schemas.openxmlformats.org/officeDocument/2006/relationships/image" Target="../media/image18.jpg"/><Relationship Id="rId2" Type="http://schemas.openxmlformats.org/officeDocument/2006/relationships/hyperlink" Target=":/" TargetMode="External"/><Relationship Id="rId1" Type="http://schemas.openxmlformats.org/officeDocument/2006/relationships/hyperlink" Target="01_Cockpit.xlsm" TargetMode="External"/><Relationship Id="rId6" Type="http://schemas.openxmlformats.org/officeDocument/2006/relationships/image" Target="../media/image9.png"/><Relationship Id="rId5" Type="http://schemas.openxmlformats.org/officeDocument/2006/relationships/hyperlink" Target="#Menu!A1"/><Relationship Id="rId4" Type="http://schemas.openxmlformats.org/officeDocument/2006/relationships/hyperlink" Target="http://www.2imanagement.ch/18985.html" TargetMode="Externa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9.png"/><Relationship Id="rId1" Type="http://schemas.openxmlformats.org/officeDocument/2006/relationships/hyperlink" Target="#Menu!A1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295275</xdr:rowOff>
    </xdr:from>
    <xdr:to>
      <xdr:col>13</xdr:col>
      <xdr:colOff>133350</xdr:colOff>
      <xdr:row>35</xdr:row>
      <xdr:rowOff>35091</xdr:rowOff>
    </xdr:to>
    <xdr:pic>
      <xdr:nvPicPr>
        <xdr:cNvPr id="81" name="Grafik 80" descr="http://www.leadershipxfactor.com/wp-content/uploads/2011/08/slide3_shutterstock_66240865.jpg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60"/>
        <a:stretch/>
      </xdr:blipFill>
      <xdr:spPr bwMode="auto">
        <a:xfrm>
          <a:off x="409575" y="295275"/>
          <a:ext cx="7800975" cy="6426366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510540</xdr:colOff>
          <xdr:row>2</xdr:row>
          <xdr:rowOff>68580</xdr:rowOff>
        </xdr:from>
        <xdr:to>
          <xdr:col>12</xdr:col>
          <xdr:colOff>617220</xdr:colOff>
          <xdr:row>2</xdr:row>
          <xdr:rowOff>236220</xdr:rowOff>
        </xdr:to>
        <xdr:sp macro="" textlink="">
          <xdr:nvSpPr>
            <xdr:cNvPr id="96257" name="Drop Down 1" hidden="1">
              <a:extLst>
                <a:ext uri="{63B3BB69-23CF-44E3-9099-C40C66FF867C}">
                  <a14:compatExt spid="_x0000_s96257"/>
                </a:ext>
                <a:ext uri="{FF2B5EF4-FFF2-40B4-BE49-F238E27FC236}">
                  <a16:creationId xmlns:a16="http://schemas.microsoft.com/office/drawing/2014/main" id="{00000000-0008-0000-0100-0000017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</xdr:col>
      <xdr:colOff>280989</xdr:colOff>
      <xdr:row>2</xdr:row>
      <xdr:rowOff>66675</xdr:rowOff>
    </xdr:from>
    <xdr:to>
      <xdr:col>11</xdr:col>
      <xdr:colOff>453789</xdr:colOff>
      <xdr:row>2</xdr:row>
      <xdr:rowOff>239475</xdr:rowOff>
    </xdr:to>
    <xdr:grpSp>
      <xdr:nvGrpSpPr>
        <xdr:cNvPr id="7" name="Gruppieren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6841809" y="600075"/>
          <a:ext cx="172800" cy="172800"/>
          <a:chOff x="8105775" y="571500"/>
          <a:chExt cx="172800" cy="172800"/>
        </a:xfrm>
      </xdr:grpSpPr>
      <xdr:sp macro="" textlink="">
        <xdr:nvSpPr>
          <xdr:cNvPr id="88" name="Rechteck 87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oneCellAnchor>
    <xdr:from>
      <xdr:col>1</xdr:col>
      <xdr:colOff>200025</xdr:colOff>
      <xdr:row>26</xdr:row>
      <xdr:rowOff>16042</xdr:rowOff>
    </xdr:from>
    <xdr:ext cx="1590674" cy="374141"/>
    <xdr:sp macro="" textlink="' '!A17">
      <xdr:nvSpPr>
        <xdr:cNvPr id="83" name="Textfeld 8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/>
      </xdr:nvSpPr>
      <xdr:spPr>
        <a:xfrm>
          <a:off x="200025" y="5130967"/>
          <a:ext cx="159067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BAFE7444-ED13-4305-B751-1EE038DD7F24}" type="TxLink">
            <a:rPr lang="en-US" sz="18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1. Stakeholder</a:t>
          </a:fld>
          <a:endParaRPr lang="fr-CH" sz="18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33558</xdr:colOff>
      <xdr:row>16</xdr:row>
      <xdr:rowOff>111292</xdr:rowOff>
    </xdr:from>
    <xdr:ext cx="1090392" cy="374141"/>
    <xdr:sp macro="" textlink="' '!A18">
      <xdr:nvSpPr>
        <xdr:cNvPr id="84" name="Textfeld 8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/>
      </xdr:nvSpPr>
      <xdr:spPr>
        <a:xfrm>
          <a:off x="500283" y="3321217"/>
          <a:ext cx="1090392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6778F2E4-B1DA-4E96-BA88-313F9043B6E5}" type="TxLink">
            <a:rPr lang="en-US" sz="18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2. PESTEL</a:t>
          </a:fld>
          <a:endParaRPr lang="fr-CH" sz="18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447675</xdr:colOff>
      <xdr:row>11</xdr:row>
      <xdr:rowOff>82717</xdr:rowOff>
    </xdr:from>
    <xdr:ext cx="1035456" cy="374141"/>
    <xdr:sp macro="" textlink="' '!A33">
      <xdr:nvSpPr>
        <xdr:cNvPr id="85" name="Textfeld 8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/>
      </xdr:nvSpPr>
      <xdr:spPr>
        <a:xfrm>
          <a:off x="1857375" y="2340142"/>
          <a:ext cx="103545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3BD91055-D743-45B8-8E00-FB32B6B0DE2B}" type="TxLink">
            <a:rPr lang="en-US" sz="18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3. SWOT</a:t>
          </a:fld>
          <a:endParaRPr lang="fr-CH" sz="18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683895</xdr:colOff>
      <xdr:row>21</xdr:row>
      <xdr:rowOff>166537</xdr:rowOff>
    </xdr:from>
    <xdr:ext cx="1790699" cy="374141"/>
    <xdr:sp macro="" textlink="' '!A19">
      <xdr:nvSpPr>
        <xdr:cNvPr id="86" name="Textfeld 8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/>
      </xdr:nvSpPr>
      <xdr:spPr>
        <a:xfrm>
          <a:off x="2916555" y="4205137"/>
          <a:ext cx="1790699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/>
          <a:fld id="{ADE646EA-9952-46FE-85F4-D10E23D9496B}" type="TxLink">
            <a:rPr lang="en-US" sz="1800" b="1">
              <a:solidFill>
                <a:srgbClr val="006600"/>
              </a:solidFill>
              <a:latin typeface="+mn-lt"/>
              <a:ea typeface="+mn-ea"/>
              <a:cs typeface="+mn-cs"/>
            </a:rPr>
            <a:pPr marL="0" indent="0"/>
            <a:t>5. Objectifs</a:t>
          </a:fld>
          <a:endParaRPr lang="fr-CH" sz="1800" b="1">
            <a:solidFill>
              <a:srgbClr val="0066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758191</xdr:colOff>
      <xdr:row>25</xdr:row>
      <xdr:rowOff>160822</xdr:rowOff>
    </xdr:from>
    <xdr:ext cx="1005468" cy="374141"/>
    <xdr:sp macro="" textlink="' '!A23">
      <xdr:nvSpPr>
        <xdr:cNvPr id="87" name="Textfeld 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/>
      </xdr:nvSpPr>
      <xdr:spPr>
        <a:xfrm>
          <a:off x="2990851" y="4938562"/>
          <a:ext cx="1005468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13E0B212-5BD2-465F-8D0F-6609A5641FC2}" type="TxLink">
            <a:rPr lang="en-US" sz="1800" b="1">
              <a:solidFill>
                <a:srgbClr val="006600"/>
              </a:solidFill>
              <a:latin typeface="+mn-lt"/>
              <a:ea typeface="+mn-ea"/>
              <a:cs typeface="+mn-cs"/>
            </a:rPr>
            <a:pPr marL="0" indent="0"/>
            <a:t>4. Vision</a:t>
          </a:fld>
          <a:endParaRPr lang="fr-CH" sz="1800" b="1">
            <a:solidFill>
              <a:srgbClr val="0066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697230</xdr:colOff>
      <xdr:row>17</xdr:row>
      <xdr:rowOff>170347</xdr:rowOff>
    </xdr:from>
    <xdr:ext cx="1741169" cy="374141"/>
    <xdr:sp macro="" textlink="' '!A20">
      <xdr:nvSpPr>
        <xdr:cNvPr id="89" name="Textfeld 8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/>
      </xdr:nvSpPr>
      <xdr:spPr>
        <a:xfrm>
          <a:off x="3259455" y="3570772"/>
          <a:ext cx="1741169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/>
          <a:fld id="{E8C4470F-81B0-4AB5-8126-2DED5CCCC5E9}" type="TxLink">
            <a:rPr lang="en-US" sz="1800" b="1">
              <a:solidFill>
                <a:srgbClr val="006600"/>
              </a:solidFill>
              <a:latin typeface="+mn-lt"/>
              <a:ea typeface="+mn-ea"/>
              <a:cs typeface="+mn-cs"/>
            </a:rPr>
            <a:pPr marL="0" indent="0"/>
            <a:t>6. Groupe cible</a:t>
          </a:fld>
          <a:endParaRPr lang="fr-CH" sz="1800" b="1">
            <a:solidFill>
              <a:srgbClr val="0066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775336</xdr:colOff>
      <xdr:row>13</xdr:row>
      <xdr:rowOff>153202</xdr:rowOff>
    </xdr:from>
    <xdr:ext cx="1101840" cy="374141"/>
    <xdr:sp macro="" textlink="' '!A22">
      <xdr:nvSpPr>
        <xdr:cNvPr id="90" name="Textfeld 8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/>
      </xdr:nvSpPr>
      <xdr:spPr>
        <a:xfrm>
          <a:off x="3411856" y="2713522"/>
          <a:ext cx="110184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DABC500B-8F1B-4A90-8CBE-63797C51932E}" type="TxLink">
            <a:rPr lang="en-US" sz="1800" b="1">
              <a:solidFill>
                <a:srgbClr val="006600"/>
              </a:solidFill>
              <a:latin typeface="+mn-lt"/>
              <a:ea typeface="+mn-ea"/>
              <a:cs typeface="+mn-cs"/>
            </a:rPr>
            <a:pPr marL="0" indent="0"/>
            <a:t>7. Risques</a:t>
          </a:fld>
          <a:endParaRPr lang="fr-CH" sz="1800" b="1">
            <a:solidFill>
              <a:srgbClr val="006600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1</xdr:col>
      <xdr:colOff>361950</xdr:colOff>
      <xdr:row>31</xdr:row>
      <xdr:rowOff>123824</xdr:rowOff>
    </xdr:from>
    <xdr:to>
      <xdr:col>13</xdr:col>
      <xdr:colOff>19050</xdr:colOff>
      <xdr:row>35</xdr:row>
      <xdr:rowOff>57150</xdr:rowOff>
    </xdr:to>
    <xdr:grpSp>
      <xdr:nvGrpSpPr>
        <xdr:cNvPr id="9" name="Gruppieren 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95250" y="5975984"/>
          <a:ext cx="7917180" cy="527686"/>
          <a:chOff x="8667750" y="5905499"/>
          <a:chExt cx="7791450" cy="552451"/>
        </a:xfrm>
      </xdr:grpSpPr>
      <xdr:sp macro="" textlink="">
        <xdr:nvSpPr>
          <xdr:cNvPr id="8" name="Rechteck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8667750" y="5905499"/>
            <a:ext cx="7791450" cy="552451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fr-CH" sz="1100" b="0" baseline="0"/>
          </a:p>
        </xdr:txBody>
      </xdr:sp>
      <xdr:grpSp>
        <xdr:nvGrpSpPr>
          <xdr:cNvPr id="6" name="Gruppieren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GrpSpPr/>
        </xdr:nvGrpSpPr>
        <xdr:grpSpPr>
          <a:xfrm>
            <a:off x="8802232" y="5948538"/>
            <a:ext cx="7579636" cy="466373"/>
            <a:chOff x="8850045" y="5940772"/>
            <a:chExt cx="7579636" cy="466373"/>
          </a:xfrm>
        </xdr:grpSpPr>
        <xdr:sp macro="" textlink="">
          <xdr:nvSpPr>
            <xdr:cNvPr id="66" name="Eingekerbter Richtungspfeil 65">
              <a:extLst>
                <a:ext uri="{FF2B5EF4-FFF2-40B4-BE49-F238E27FC236}">
                  <a16:creationId xmlns:a16="http://schemas.microsoft.com/office/drawing/2014/main" id="{00000000-0008-0000-0100-000042000000}"/>
                </a:ext>
              </a:extLst>
            </xdr:cNvPr>
            <xdr:cNvSpPr/>
          </xdr:nvSpPr>
          <xdr:spPr>
            <a:xfrm>
              <a:off x="10588253" y="5961049"/>
              <a:ext cx="264738" cy="425818"/>
            </a:xfrm>
            <a:prstGeom prst="chevron">
              <a:avLst/>
            </a:prstGeom>
            <a:solidFill>
              <a:schemeClr val="accent1">
                <a:lumMod val="75000"/>
              </a:schemeClr>
            </a:solidFill>
            <a:ln>
              <a:noFill/>
            </a:ln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="0" baseline="0">
                <a:solidFill>
                  <a:schemeClr val="tx1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' '!A11">
          <xdr:nvSpPr>
            <xdr:cNvPr id="4" name="Textfeld 3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 txBox="1"/>
          </xdr:nvSpPr>
          <xdr:spPr>
            <a:xfrm>
              <a:off x="9153525" y="5940772"/>
              <a:ext cx="1447800" cy="4663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fld id="{342D58FF-C256-4E2E-A3F9-DF405355DC8B}" type="TxLink">
                <a:rPr lang="de-CH" sz="1400" b="0">
                  <a:solidFill>
                    <a:schemeClr val="tx2"/>
                  </a:solidFill>
                  <a:effectLst/>
                  <a:latin typeface="+mn-lt"/>
                  <a:ea typeface="+mn-ea"/>
                  <a:cs typeface="+mn-cs"/>
                </a:rPr>
                <a:pPr algn="ctr"/>
                <a:t>Analyse de la situation</a:t>
              </a:fld>
              <a:endParaRPr lang="de-CH" sz="1400" b="0">
                <a:solidFill>
                  <a:schemeClr val="tx2"/>
                </a:solidFill>
              </a:endParaRPr>
            </a:p>
          </xdr:txBody>
        </xdr:sp>
        <xdr:sp macro="" textlink="">
          <xdr:nvSpPr>
            <xdr:cNvPr id="111" name="Eingekerbter Richtungspfeil 110">
              <a:extLst>
                <a:ext uri="{FF2B5EF4-FFF2-40B4-BE49-F238E27FC236}">
                  <a16:creationId xmlns:a16="http://schemas.microsoft.com/office/drawing/2014/main" id="{00000000-0008-0000-0100-00006F000000}"/>
                </a:ext>
              </a:extLst>
            </xdr:cNvPr>
            <xdr:cNvSpPr/>
          </xdr:nvSpPr>
          <xdr:spPr>
            <a:xfrm>
              <a:off x="8850045" y="5961049"/>
              <a:ext cx="264738" cy="425818"/>
            </a:xfrm>
            <a:prstGeom prst="chevron">
              <a:avLst/>
            </a:prstGeom>
            <a:solidFill>
              <a:schemeClr val="tx2"/>
            </a:solidFill>
            <a:ln>
              <a:noFill/>
            </a:ln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="0" baseline="0">
                <a:solidFill>
                  <a:schemeClr val="tx1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92" name="Eingekerbter Richtungspfeil 91">
              <a:extLst>
                <a:ext uri="{FF2B5EF4-FFF2-40B4-BE49-F238E27FC236}">
                  <a16:creationId xmlns:a16="http://schemas.microsoft.com/office/drawing/2014/main" id="{00000000-0008-0000-0100-00005C000000}"/>
                </a:ext>
              </a:extLst>
            </xdr:cNvPr>
            <xdr:cNvSpPr/>
          </xdr:nvSpPr>
          <xdr:spPr>
            <a:xfrm>
              <a:off x="12644000" y="5961049"/>
              <a:ext cx="264738" cy="425818"/>
            </a:xfrm>
            <a:prstGeom prst="chevron">
              <a:avLst/>
            </a:prstGeom>
            <a:solidFill>
              <a:srgbClr val="006600"/>
            </a:solidFill>
            <a:ln>
              <a:noFill/>
            </a:ln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="0" baseline="0">
                <a:solidFill>
                  <a:schemeClr val="tx1"/>
                </a:solidFill>
              </a:endParaRPr>
            </a:p>
          </xdr:txBody>
        </xdr:sp>
        <xdr:sp macro="" textlink="' '!A13">
          <xdr:nvSpPr>
            <xdr:cNvPr id="91" name="Textfeld 90">
              <a:extLst>
                <a:ext uri="{FF2B5EF4-FFF2-40B4-BE49-F238E27FC236}">
                  <a16:creationId xmlns:a16="http://schemas.microsoft.com/office/drawing/2014/main" id="{00000000-0008-0000-0100-00005B000000}"/>
                </a:ext>
              </a:extLst>
            </xdr:cNvPr>
            <xdr:cNvSpPr txBox="1"/>
          </xdr:nvSpPr>
          <xdr:spPr>
            <a:xfrm>
              <a:off x="11058526" y="5940772"/>
              <a:ext cx="1428750" cy="4663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marL="0" indent="0" algn="ctr"/>
              <a:fld id="{E997AE47-D7A2-4241-9DF9-26F97731A466}" type="TxLink">
                <a:rPr lang="en-US" sz="1400" b="0">
                  <a:solidFill>
                    <a:srgbClr val="006600"/>
                  </a:solidFill>
                  <a:effectLst/>
                  <a:latin typeface="+mn-lt"/>
                  <a:ea typeface="+mn-ea"/>
                  <a:cs typeface="+mn-cs"/>
                </a:rPr>
                <a:pPr marL="0" indent="0" algn="ctr"/>
                <a:t>Objectifs &amp; Mesures</a:t>
              </a:fld>
              <a:endParaRPr lang="de-CH" sz="1400" b="0">
                <a:solidFill>
                  <a:srgbClr val="006600"/>
                </a:solidFill>
                <a:effectLst/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98" name="Eingekerbter Richtungspfeil 97">
              <a:extLst>
                <a:ext uri="{FF2B5EF4-FFF2-40B4-BE49-F238E27FC236}">
                  <a16:creationId xmlns:a16="http://schemas.microsoft.com/office/drawing/2014/main" id="{00000000-0008-0000-0100-000062000000}"/>
                </a:ext>
              </a:extLst>
            </xdr:cNvPr>
            <xdr:cNvSpPr/>
          </xdr:nvSpPr>
          <xdr:spPr>
            <a:xfrm>
              <a:off x="14309221" y="5961049"/>
              <a:ext cx="264738" cy="425818"/>
            </a:xfrm>
            <a:prstGeom prst="chevron">
              <a:avLst/>
            </a:prstGeom>
            <a:solidFill>
              <a:schemeClr val="accent4">
                <a:lumMod val="75000"/>
              </a:schemeClr>
            </a:solidFill>
            <a:ln>
              <a:noFill/>
            </a:ln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="0" baseline="0">
                <a:solidFill>
                  <a:schemeClr val="tx1"/>
                </a:solidFill>
              </a:endParaRPr>
            </a:p>
          </xdr:txBody>
        </xdr:sp>
        <xdr:sp macro="" textlink="' '!A42">
          <xdr:nvSpPr>
            <xdr:cNvPr id="97" name="Textfeld 96">
              <a:extLst>
                <a:ext uri="{FF2B5EF4-FFF2-40B4-BE49-F238E27FC236}">
                  <a16:creationId xmlns:a16="http://schemas.microsoft.com/office/drawing/2014/main" id="{00000000-0008-0000-0100-000061000000}"/>
                </a:ext>
              </a:extLst>
            </xdr:cNvPr>
            <xdr:cNvSpPr txBox="1"/>
          </xdr:nvSpPr>
          <xdr:spPr>
            <a:xfrm>
              <a:off x="12934950" y="5940772"/>
              <a:ext cx="1390650" cy="4663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fld id="{70206B03-CA61-4D35-BC67-36CEDFDCACC0}" type="TxLink">
                <a:rPr lang="de-CH" sz="1400" b="0">
                  <a:solidFill>
                    <a:schemeClr val="accent4">
                      <a:lumMod val="75000"/>
                    </a:schemeClr>
                  </a:solidFill>
                  <a:effectLst/>
                  <a:latin typeface="+mn-lt"/>
                  <a:ea typeface="+mn-ea"/>
                  <a:cs typeface="+mn-cs"/>
                </a:rPr>
                <a:pPr algn="ctr"/>
                <a:t>Budget</a:t>
              </a:fld>
              <a:endParaRPr lang="de-CH" sz="1400" b="0">
                <a:solidFill>
                  <a:schemeClr val="accent4">
                    <a:lumMod val="75000"/>
                  </a:schemeClr>
                </a:solidFill>
                <a:effectLst/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103" name="Eingekerbter Richtungspfeil 102">
              <a:extLst>
                <a:ext uri="{FF2B5EF4-FFF2-40B4-BE49-F238E27FC236}">
                  <a16:creationId xmlns:a16="http://schemas.microsoft.com/office/drawing/2014/main" id="{00000000-0008-0000-0100-000067000000}"/>
                </a:ext>
              </a:extLst>
            </xdr:cNvPr>
            <xdr:cNvSpPr/>
          </xdr:nvSpPr>
          <xdr:spPr>
            <a:xfrm>
              <a:off x="16164943" y="5961049"/>
              <a:ext cx="264738" cy="425818"/>
            </a:xfrm>
            <a:prstGeom prst="chevron">
              <a:avLst/>
            </a:prstGeom>
            <a:solidFill>
              <a:schemeClr val="accent2">
                <a:lumMod val="75000"/>
              </a:schemeClr>
            </a:solidFill>
            <a:ln>
              <a:noFill/>
            </a:ln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="0" baseline="0">
                <a:solidFill>
                  <a:schemeClr val="tx1"/>
                </a:solidFill>
              </a:endParaRPr>
            </a:p>
          </xdr:txBody>
        </xdr:sp>
        <xdr:sp macro="" textlink="' '!A31">
          <xdr:nvSpPr>
            <xdr:cNvPr id="102" name="Textfeld 101">
              <a:extLst>
                <a:ext uri="{FF2B5EF4-FFF2-40B4-BE49-F238E27FC236}">
                  <a16:creationId xmlns:a16="http://schemas.microsoft.com/office/drawing/2014/main" id="{00000000-0008-0000-0100-000066000000}"/>
                </a:ext>
              </a:extLst>
            </xdr:cNvPr>
            <xdr:cNvSpPr txBox="1"/>
          </xdr:nvSpPr>
          <xdr:spPr>
            <a:xfrm>
              <a:off x="14763750" y="5940772"/>
              <a:ext cx="1438275" cy="46637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fld id="{01E2A78C-F36C-4AD2-B5D4-19D1F0A2D2D6}" type="TxLink">
                <a:rPr lang="de-CH" sz="1400" b="0">
                  <a:solidFill>
                    <a:schemeClr val="accent2">
                      <a:lumMod val="75000"/>
                    </a:schemeClr>
                  </a:solidFill>
                  <a:effectLst/>
                  <a:latin typeface="+mn-lt"/>
                  <a:ea typeface="+mn-ea"/>
                  <a:cs typeface="+mn-cs"/>
                </a:rPr>
                <a:pPr algn="ctr"/>
                <a:t>Réalisation &amp; Controlling</a:t>
              </a:fld>
              <a:endParaRPr lang="de-CH" sz="1400" b="0">
                <a:solidFill>
                  <a:schemeClr val="accent2">
                    <a:lumMod val="75000"/>
                  </a:schemeClr>
                </a:solidFill>
                <a:effectLst/>
                <a:latin typeface="+mn-lt"/>
                <a:ea typeface="+mn-ea"/>
                <a:cs typeface="+mn-cs"/>
              </a:endParaRPr>
            </a:p>
          </xdr:txBody>
        </xdr:sp>
      </xdr:grpSp>
    </xdr:grpSp>
    <xdr:clientData/>
  </xdr:twoCellAnchor>
  <xdr:oneCellAnchor>
    <xdr:from>
      <xdr:col>7</xdr:col>
      <xdr:colOff>514351</xdr:colOff>
      <xdr:row>8</xdr:row>
      <xdr:rowOff>16042</xdr:rowOff>
    </xdr:from>
    <xdr:ext cx="1733549" cy="374141"/>
    <xdr:sp macro="" textlink="' '!A24">
      <xdr:nvSpPr>
        <xdr:cNvPr id="93" name="Textfeld 9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/>
      </xdr:nvSpPr>
      <xdr:spPr>
        <a:xfrm>
          <a:off x="4210051" y="1701967"/>
          <a:ext cx="1733549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/>
          <a:fld id="{B1F7AB07-0DBA-4F21-9578-F04F0889D836}" type="TxLink">
            <a:rPr lang="en-US" sz="1800" b="1">
              <a:solidFill>
                <a:srgbClr val="006600"/>
              </a:solidFill>
              <a:latin typeface="+mn-lt"/>
              <a:ea typeface="+mn-ea"/>
              <a:cs typeface="+mn-cs"/>
            </a:rPr>
            <a:pPr marL="0" indent="0"/>
            <a:t>8. Mesures</a:t>
          </a:fld>
          <a:endParaRPr lang="fr-CH" sz="1800" b="1">
            <a:solidFill>
              <a:srgbClr val="0066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533401</xdr:colOff>
      <xdr:row>14</xdr:row>
      <xdr:rowOff>44617</xdr:rowOff>
    </xdr:from>
    <xdr:ext cx="1098378" cy="374141"/>
    <xdr:sp macro="" textlink="' '!A25">
      <xdr:nvSpPr>
        <xdr:cNvPr id="94" name="Textfeld 9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/>
      </xdr:nvSpPr>
      <xdr:spPr>
        <a:xfrm>
          <a:off x="5753101" y="2873542"/>
          <a:ext cx="1098378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091F3006-18A9-4C6B-A09D-19FACEFD9A42}" type="TxLink">
            <a:rPr lang="en-US" sz="1800" b="1">
              <a:solidFill>
                <a:schemeClr val="accent4">
                  <a:lumMod val="75000"/>
                </a:schemeClr>
              </a:solidFill>
              <a:latin typeface="+mn-lt"/>
              <a:ea typeface="+mn-ea"/>
              <a:cs typeface="+mn-cs"/>
            </a:rPr>
            <a:pPr marL="0" indent="0"/>
            <a:t>9. Budget</a:t>
          </a:fld>
          <a:endParaRPr lang="fr-CH" sz="1800" b="1">
            <a:solidFill>
              <a:schemeClr val="accent4">
                <a:lumMod val="7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504826</xdr:colOff>
      <xdr:row>25</xdr:row>
      <xdr:rowOff>139867</xdr:rowOff>
    </xdr:from>
    <xdr:ext cx="1592231" cy="374141"/>
    <xdr:sp macro="" textlink="' '!A26">
      <xdr:nvSpPr>
        <xdr:cNvPr id="95" name="Textfeld 9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/>
      </xdr:nvSpPr>
      <xdr:spPr>
        <a:xfrm>
          <a:off x="6486526" y="5064292"/>
          <a:ext cx="15922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BD205FAC-25FE-42E5-AC0F-81760B01819A}" type="TxLink">
            <a:rPr lang="en-US" sz="1800" b="1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pPr marL="0" indent="0"/>
            <a:t>10. Controlling</a:t>
          </a:fld>
          <a:endParaRPr lang="fr-CH" sz="1800" b="1">
            <a:solidFill>
              <a:schemeClr val="accent2">
                <a:lumMod val="7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747705</xdr:colOff>
          <xdr:row>0</xdr:row>
          <xdr:rowOff>0</xdr:rowOff>
        </xdr:from>
        <xdr:to>
          <xdr:col>12</xdr:col>
          <xdr:colOff>645788</xdr:colOff>
          <xdr:row>1</xdr:row>
          <xdr:rowOff>0</xdr:rowOff>
        </xdr:to>
        <xdr:pic>
          <xdr:nvPicPr>
            <xdr:cNvPr id="29" name="Grafik 45">
              <a:hlinkClick xmlns:r="http://schemas.openxmlformats.org/officeDocument/2006/relationships" r:id="rId13" tooltip="Logo"/>
              <a:extLst>
                <a:ext uri="{FF2B5EF4-FFF2-40B4-BE49-F238E27FC236}">
                  <a16:creationId xmlns:a16="http://schemas.microsoft.com/office/drawing/2014/main" id="{00000000-0008-0000-0100-00001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96260"/>
                </a:ext>
              </a:extLst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5957880" y="0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329239</xdr:colOff>
      <xdr:row>5</xdr:row>
      <xdr:rowOff>158443</xdr:rowOff>
    </xdr:from>
    <xdr:to>
      <xdr:col>9</xdr:col>
      <xdr:colOff>171450</xdr:colOff>
      <xdr:row>5</xdr:row>
      <xdr:rowOff>158443</xdr:rowOff>
    </xdr:to>
    <xdr:cxnSp macro="">
      <xdr:nvCxnSpPr>
        <xdr:cNvPr id="2" name="Gerade Verbindung mit Pfeil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>
          <a:stCxn id="30" idx="3"/>
          <a:endCxn id="34" idx="1"/>
        </xdr:cNvCxnSpPr>
      </xdr:nvCxnSpPr>
      <xdr:spPr>
        <a:xfrm>
          <a:off x="3262939" y="1587193"/>
          <a:ext cx="2890211" cy="0"/>
        </a:xfrm>
        <a:prstGeom prst="straightConnector1">
          <a:avLst/>
        </a:prstGeom>
        <a:ln>
          <a:solidFill>
            <a:schemeClr val="tx2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542925</xdr:colOff>
      <xdr:row>1</xdr:row>
      <xdr:rowOff>57150</xdr:rowOff>
    </xdr:from>
    <xdr:ext cx="172800" cy="172800"/>
    <xdr:grpSp>
      <xdr:nvGrpSpPr>
        <xdr:cNvPr id="3" name="Gruppier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9344025" y="613410"/>
          <a:ext cx="172800" cy="172800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oneCellAnchor>
  <xdr:twoCellAnchor>
    <xdr:from>
      <xdr:col>5</xdr:col>
      <xdr:colOff>627821</xdr:colOff>
      <xdr:row>5</xdr:row>
      <xdr:rowOff>64980</xdr:rowOff>
    </xdr:from>
    <xdr:to>
      <xdr:col>7</xdr:col>
      <xdr:colOff>171263</xdr:colOff>
      <xdr:row>7</xdr:row>
      <xdr:rowOff>198523</xdr:rowOff>
    </xdr:to>
    <xdr:sp macro="" textlink="">
      <xdr:nvSpPr>
        <xdr:cNvPr id="6" name="Freihandform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3561521" y="1493730"/>
          <a:ext cx="1067442" cy="533593"/>
        </a:xfrm>
        <a:custGeom>
          <a:avLst/>
          <a:gdLst>
            <a:gd name="connsiteX0" fmla="*/ 0 w 1067442"/>
            <a:gd name="connsiteY0" fmla="*/ 0 h 533593"/>
            <a:gd name="connsiteX1" fmla="*/ 1067442 w 1067442"/>
            <a:gd name="connsiteY1" fmla="*/ 0 h 533593"/>
            <a:gd name="connsiteX2" fmla="*/ 1067442 w 1067442"/>
            <a:gd name="connsiteY2" fmla="*/ 533593 h 533593"/>
            <a:gd name="connsiteX3" fmla="*/ 0 w 1067442"/>
            <a:gd name="connsiteY3" fmla="*/ 533593 h 533593"/>
            <a:gd name="connsiteX4" fmla="*/ 0 w 1067442"/>
            <a:gd name="connsiteY4" fmla="*/ 0 h 5335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67442" h="533593">
              <a:moveTo>
                <a:pt x="0" y="0"/>
              </a:moveTo>
              <a:lnTo>
                <a:pt x="1067442" y="0"/>
              </a:lnTo>
              <a:lnTo>
                <a:pt x="1067442" y="533593"/>
              </a:lnTo>
              <a:lnTo>
                <a:pt x="0" y="53359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22225" tIns="22225" rIns="22225" bIns="22225" numCol="1" spcCol="1270" anchor="ctr" anchorCtr="0">
          <a:noAutofit/>
        </a:bodyPr>
        <a:lstStyle/>
        <a:p>
          <a:pPr lvl="0" algn="ctr" defTabSz="15557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de-CH" sz="3500" kern="1200"/>
        </a:p>
      </xdr:txBody>
    </xdr:sp>
    <xdr:clientData/>
  </xdr:twoCellAnchor>
  <xdr:twoCellAnchor>
    <xdr:from>
      <xdr:col>6</xdr:col>
      <xdr:colOff>494653</xdr:colOff>
      <xdr:row>9</xdr:row>
      <xdr:rowOff>170023</xdr:rowOff>
    </xdr:from>
    <xdr:to>
      <xdr:col>7</xdr:col>
      <xdr:colOff>691068</xdr:colOff>
      <xdr:row>12</xdr:row>
      <xdr:rowOff>14967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0353" y="2398873"/>
          <a:ext cx="958415" cy="435494"/>
        </a:xfrm>
        <a:prstGeom prst="rect">
          <a:avLst/>
        </a:prstGeom>
      </xdr:spPr>
    </xdr:pic>
    <xdr:clientData/>
  </xdr:twoCellAnchor>
  <xdr:twoCellAnchor>
    <xdr:from>
      <xdr:col>5</xdr:col>
      <xdr:colOff>555629</xdr:colOff>
      <xdr:row>15</xdr:row>
      <xdr:rowOff>148317</xdr:rowOff>
    </xdr:from>
    <xdr:to>
      <xdr:col>8</xdr:col>
      <xdr:colOff>619007</xdr:colOff>
      <xdr:row>16</xdr:row>
      <xdr:rowOff>175377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3489329" y="3539217"/>
          <a:ext cx="234937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800" b="0">
              <a:solidFill>
                <a:schemeClr val="tx1">
                  <a:lumMod val="50000"/>
                  <a:lumOff val="50000"/>
                </a:schemeClr>
              </a:solidFill>
            </a:rPr>
            <a:t>Kommunikationsquadrat   Quelle: Schulz von Thun</a:t>
          </a:r>
        </a:p>
      </xdr:txBody>
    </xdr:sp>
    <xdr:clientData/>
  </xdr:twoCellAnchor>
  <xdr:twoCellAnchor>
    <xdr:from>
      <xdr:col>2</xdr:col>
      <xdr:colOff>549140</xdr:colOff>
      <xdr:row>7</xdr:row>
      <xdr:rowOff>5442</xdr:rowOff>
    </xdr:from>
    <xdr:to>
      <xdr:col>13</xdr:col>
      <xdr:colOff>3028</xdr:colOff>
      <xdr:row>14</xdr:row>
      <xdr:rowOff>81642</xdr:rowOff>
    </xdr:to>
    <xdr:sp macro="" textlink="">
      <xdr:nvSpPr>
        <xdr:cNvPr id="12" name="Freihandform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1196840" y="1834242"/>
          <a:ext cx="7016738" cy="1447800"/>
        </a:xfrm>
        <a:custGeom>
          <a:avLst/>
          <a:gdLst>
            <a:gd name="connsiteX0" fmla="*/ 0 w 7048500"/>
            <a:gd name="connsiteY0" fmla="*/ 609600 h 1447800"/>
            <a:gd name="connsiteX1" fmla="*/ 180975 w 7048500"/>
            <a:gd name="connsiteY1" fmla="*/ 619125 h 1447800"/>
            <a:gd name="connsiteX2" fmla="*/ 285750 w 7048500"/>
            <a:gd name="connsiteY2" fmla="*/ 0 h 1447800"/>
            <a:gd name="connsiteX3" fmla="*/ 314325 w 7048500"/>
            <a:gd name="connsiteY3" fmla="*/ 828675 h 1447800"/>
            <a:gd name="connsiteX4" fmla="*/ 485775 w 7048500"/>
            <a:gd name="connsiteY4" fmla="*/ 152400 h 1447800"/>
            <a:gd name="connsiteX5" fmla="*/ 552450 w 7048500"/>
            <a:gd name="connsiteY5" fmla="*/ 1447800 h 1447800"/>
            <a:gd name="connsiteX6" fmla="*/ 762000 w 7048500"/>
            <a:gd name="connsiteY6" fmla="*/ 428625 h 1447800"/>
            <a:gd name="connsiteX7" fmla="*/ 866775 w 7048500"/>
            <a:gd name="connsiteY7" fmla="*/ 1114425 h 1447800"/>
            <a:gd name="connsiteX8" fmla="*/ 971550 w 7048500"/>
            <a:gd name="connsiteY8" fmla="*/ 28575 h 1447800"/>
            <a:gd name="connsiteX9" fmla="*/ 1152525 w 7048500"/>
            <a:gd name="connsiteY9" fmla="*/ 1028700 h 1447800"/>
            <a:gd name="connsiteX10" fmla="*/ 1228725 w 7048500"/>
            <a:gd name="connsiteY10" fmla="*/ 533400 h 1447800"/>
            <a:gd name="connsiteX11" fmla="*/ 1295400 w 7048500"/>
            <a:gd name="connsiteY11" fmla="*/ 742950 h 1447800"/>
            <a:gd name="connsiteX12" fmla="*/ 1371600 w 7048500"/>
            <a:gd name="connsiteY12" fmla="*/ 447675 h 1447800"/>
            <a:gd name="connsiteX13" fmla="*/ 1409700 w 7048500"/>
            <a:gd name="connsiteY13" fmla="*/ 723900 h 1447800"/>
            <a:gd name="connsiteX14" fmla="*/ 1457325 w 7048500"/>
            <a:gd name="connsiteY14" fmla="*/ 495300 h 1447800"/>
            <a:gd name="connsiteX15" fmla="*/ 1533525 w 7048500"/>
            <a:gd name="connsiteY15" fmla="*/ 704850 h 1447800"/>
            <a:gd name="connsiteX16" fmla="*/ 1581150 w 7048500"/>
            <a:gd name="connsiteY16" fmla="*/ 466725 h 1447800"/>
            <a:gd name="connsiteX17" fmla="*/ 1343025 w 7048500"/>
            <a:gd name="connsiteY17" fmla="*/ 561975 h 1447800"/>
            <a:gd name="connsiteX18" fmla="*/ 1495425 w 7048500"/>
            <a:gd name="connsiteY18" fmla="*/ 638175 h 1447800"/>
            <a:gd name="connsiteX19" fmla="*/ 1685925 w 7048500"/>
            <a:gd name="connsiteY19" fmla="*/ 476250 h 1447800"/>
            <a:gd name="connsiteX20" fmla="*/ 1733550 w 7048500"/>
            <a:gd name="connsiteY20" fmla="*/ 704850 h 1447800"/>
            <a:gd name="connsiteX21" fmla="*/ 1295400 w 7048500"/>
            <a:gd name="connsiteY21" fmla="*/ 638175 h 1447800"/>
            <a:gd name="connsiteX22" fmla="*/ 1457325 w 7048500"/>
            <a:gd name="connsiteY22" fmla="*/ 390525 h 1447800"/>
            <a:gd name="connsiteX23" fmla="*/ 1838325 w 7048500"/>
            <a:gd name="connsiteY23" fmla="*/ 676275 h 1447800"/>
            <a:gd name="connsiteX24" fmla="*/ 1885950 w 7048500"/>
            <a:gd name="connsiteY24" fmla="*/ 447675 h 1447800"/>
            <a:gd name="connsiteX25" fmla="*/ 1933575 w 7048500"/>
            <a:gd name="connsiteY25" fmla="*/ 695325 h 1447800"/>
            <a:gd name="connsiteX26" fmla="*/ 2105025 w 7048500"/>
            <a:gd name="connsiteY26" fmla="*/ 466725 h 1447800"/>
            <a:gd name="connsiteX27" fmla="*/ 2105025 w 7048500"/>
            <a:gd name="connsiteY27" fmla="*/ 647700 h 1447800"/>
            <a:gd name="connsiteX28" fmla="*/ 1790700 w 7048500"/>
            <a:gd name="connsiteY28" fmla="*/ 552450 h 1447800"/>
            <a:gd name="connsiteX29" fmla="*/ 2057400 w 7048500"/>
            <a:gd name="connsiteY29" fmla="*/ 704850 h 1447800"/>
            <a:gd name="connsiteX30" fmla="*/ 2247900 w 7048500"/>
            <a:gd name="connsiteY30" fmla="*/ 438150 h 1447800"/>
            <a:gd name="connsiteX31" fmla="*/ 2266950 w 7048500"/>
            <a:gd name="connsiteY31" fmla="*/ 704850 h 1447800"/>
            <a:gd name="connsiteX32" fmla="*/ 2362200 w 7048500"/>
            <a:gd name="connsiteY32" fmla="*/ 409575 h 1447800"/>
            <a:gd name="connsiteX33" fmla="*/ 2495550 w 7048500"/>
            <a:gd name="connsiteY33" fmla="*/ 704850 h 1447800"/>
            <a:gd name="connsiteX34" fmla="*/ 2200275 w 7048500"/>
            <a:gd name="connsiteY34" fmla="*/ 590550 h 1447800"/>
            <a:gd name="connsiteX35" fmla="*/ 2466975 w 7048500"/>
            <a:gd name="connsiteY35" fmla="*/ 438150 h 1447800"/>
            <a:gd name="connsiteX36" fmla="*/ 2543175 w 7048500"/>
            <a:gd name="connsiteY36" fmla="*/ 381000 h 1447800"/>
            <a:gd name="connsiteX37" fmla="*/ 2619375 w 7048500"/>
            <a:gd name="connsiteY37" fmla="*/ 742950 h 1447800"/>
            <a:gd name="connsiteX38" fmla="*/ 2667000 w 7048500"/>
            <a:gd name="connsiteY38" fmla="*/ 542925 h 1447800"/>
            <a:gd name="connsiteX39" fmla="*/ 2724150 w 7048500"/>
            <a:gd name="connsiteY39" fmla="*/ 666750 h 1447800"/>
            <a:gd name="connsiteX40" fmla="*/ 2733675 w 7048500"/>
            <a:gd name="connsiteY40" fmla="*/ 438150 h 1447800"/>
            <a:gd name="connsiteX41" fmla="*/ 2800350 w 7048500"/>
            <a:gd name="connsiteY41" fmla="*/ 685800 h 1447800"/>
            <a:gd name="connsiteX42" fmla="*/ 2914650 w 7048500"/>
            <a:gd name="connsiteY42" fmla="*/ 504825 h 1447800"/>
            <a:gd name="connsiteX43" fmla="*/ 2933700 w 7048500"/>
            <a:gd name="connsiteY43" fmla="*/ 647700 h 1447800"/>
            <a:gd name="connsiteX44" fmla="*/ 3009900 w 7048500"/>
            <a:gd name="connsiteY44" fmla="*/ 476250 h 1447800"/>
            <a:gd name="connsiteX45" fmla="*/ 2667000 w 7048500"/>
            <a:gd name="connsiteY45" fmla="*/ 504825 h 1447800"/>
            <a:gd name="connsiteX46" fmla="*/ 2809875 w 7048500"/>
            <a:gd name="connsiteY46" fmla="*/ 647700 h 1447800"/>
            <a:gd name="connsiteX47" fmla="*/ 2886075 w 7048500"/>
            <a:gd name="connsiteY47" fmla="*/ 447675 h 1447800"/>
            <a:gd name="connsiteX48" fmla="*/ 3086100 w 7048500"/>
            <a:gd name="connsiteY48" fmla="*/ 666750 h 1447800"/>
            <a:gd name="connsiteX49" fmla="*/ 3267075 w 7048500"/>
            <a:gd name="connsiteY49" fmla="*/ 409575 h 1447800"/>
            <a:gd name="connsiteX50" fmla="*/ 3305175 w 7048500"/>
            <a:gd name="connsiteY50" fmla="*/ 647700 h 1447800"/>
            <a:gd name="connsiteX51" fmla="*/ 3114675 w 7048500"/>
            <a:gd name="connsiteY51" fmla="*/ 533400 h 1447800"/>
            <a:gd name="connsiteX52" fmla="*/ 3448050 w 7048500"/>
            <a:gd name="connsiteY52" fmla="*/ 676275 h 1447800"/>
            <a:gd name="connsiteX53" fmla="*/ 3495675 w 7048500"/>
            <a:gd name="connsiteY53" fmla="*/ 371475 h 1447800"/>
            <a:gd name="connsiteX54" fmla="*/ 3524250 w 7048500"/>
            <a:gd name="connsiteY54" fmla="*/ 657225 h 1447800"/>
            <a:gd name="connsiteX55" fmla="*/ 3648075 w 7048500"/>
            <a:gd name="connsiteY55" fmla="*/ 447675 h 1447800"/>
            <a:gd name="connsiteX56" fmla="*/ 3848100 w 7048500"/>
            <a:gd name="connsiteY56" fmla="*/ 657225 h 1447800"/>
            <a:gd name="connsiteX57" fmla="*/ 3905250 w 7048500"/>
            <a:gd name="connsiteY57" fmla="*/ 466725 h 1447800"/>
            <a:gd name="connsiteX58" fmla="*/ 4114800 w 7048500"/>
            <a:gd name="connsiteY58" fmla="*/ 676275 h 1447800"/>
            <a:gd name="connsiteX59" fmla="*/ 4114800 w 7048500"/>
            <a:gd name="connsiteY59" fmla="*/ 476250 h 1447800"/>
            <a:gd name="connsiteX60" fmla="*/ 3962400 w 7048500"/>
            <a:gd name="connsiteY60" fmla="*/ 561975 h 1447800"/>
            <a:gd name="connsiteX61" fmla="*/ 3924300 w 7048500"/>
            <a:gd name="connsiteY61" fmla="*/ 657225 h 1447800"/>
            <a:gd name="connsiteX62" fmla="*/ 4095750 w 7048500"/>
            <a:gd name="connsiteY62" fmla="*/ 542925 h 1447800"/>
            <a:gd name="connsiteX63" fmla="*/ 4171950 w 7048500"/>
            <a:gd name="connsiteY63" fmla="*/ 457200 h 1447800"/>
            <a:gd name="connsiteX64" fmla="*/ 4324350 w 7048500"/>
            <a:gd name="connsiteY64" fmla="*/ 742950 h 1447800"/>
            <a:gd name="connsiteX65" fmla="*/ 4419600 w 7048500"/>
            <a:gd name="connsiteY65" fmla="*/ 457200 h 1447800"/>
            <a:gd name="connsiteX66" fmla="*/ 4486275 w 7048500"/>
            <a:gd name="connsiteY66" fmla="*/ 685800 h 1447800"/>
            <a:gd name="connsiteX67" fmla="*/ 4552950 w 7048500"/>
            <a:gd name="connsiteY67" fmla="*/ 504825 h 1447800"/>
            <a:gd name="connsiteX68" fmla="*/ 4410075 w 7048500"/>
            <a:gd name="connsiteY68" fmla="*/ 600075 h 1447800"/>
            <a:gd name="connsiteX69" fmla="*/ 4657725 w 7048500"/>
            <a:gd name="connsiteY69" fmla="*/ 695325 h 1447800"/>
            <a:gd name="connsiteX70" fmla="*/ 4686300 w 7048500"/>
            <a:gd name="connsiteY70" fmla="*/ 485775 h 1447800"/>
            <a:gd name="connsiteX71" fmla="*/ 4819650 w 7048500"/>
            <a:gd name="connsiteY71" fmla="*/ 714375 h 1447800"/>
            <a:gd name="connsiteX72" fmla="*/ 4829175 w 7048500"/>
            <a:gd name="connsiteY72" fmla="*/ 447675 h 1447800"/>
            <a:gd name="connsiteX73" fmla="*/ 5029200 w 7048500"/>
            <a:gd name="connsiteY73" fmla="*/ 685800 h 1447800"/>
            <a:gd name="connsiteX74" fmla="*/ 4762500 w 7048500"/>
            <a:gd name="connsiteY74" fmla="*/ 514350 h 1447800"/>
            <a:gd name="connsiteX75" fmla="*/ 4857750 w 7048500"/>
            <a:gd name="connsiteY75" fmla="*/ 704850 h 1447800"/>
            <a:gd name="connsiteX76" fmla="*/ 4972050 w 7048500"/>
            <a:gd name="connsiteY76" fmla="*/ 476250 h 1447800"/>
            <a:gd name="connsiteX77" fmla="*/ 5038725 w 7048500"/>
            <a:gd name="connsiteY77" fmla="*/ 581025 h 1447800"/>
            <a:gd name="connsiteX78" fmla="*/ 4933950 w 7048500"/>
            <a:gd name="connsiteY78" fmla="*/ 485775 h 1447800"/>
            <a:gd name="connsiteX79" fmla="*/ 5124450 w 7048500"/>
            <a:gd name="connsiteY79" fmla="*/ 723900 h 1447800"/>
            <a:gd name="connsiteX80" fmla="*/ 5200650 w 7048500"/>
            <a:gd name="connsiteY80" fmla="*/ 552450 h 1447800"/>
            <a:gd name="connsiteX81" fmla="*/ 5238750 w 7048500"/>
            <a:gd name="connsiteY81" fmla="*/ 685800 h 1447800"/>
            <a:gd name="connsiteX82" fmla="*/ 5114925 w 7048500"/>
            <a:gd name="connsiteY82" fmla="*/ 552450 h 1447800"/>
            <a:gd name="connsiteX83" fmla="*/ 5286375 w 7048500"/>
            <a:gd name="connsiteY83" fmla="*/ 457200 h 1447800"/>
            <a:gd name="connsiteX84" fmla="*/ 5381625 w 7048500"/>
            <a:gd name="connsiteY84" fmla="*/ 781050 h 1447800"/>
            <a:gd name="connsiteX85" fmla="*/ 5410200 w 7048500"/>
            <a:gd name="connsiteY85" fmla="*/ 400050 h 1447800"/>
            <a:gd name="connsiteX86" fmla="*/ 5610225 w 7048500"/>
            <a:gd name="connsiteY86" fmla="*/ 819150 h 1447800"/>
            <a:gd name="connsiteX87" fmla="*/ 5705475 w 7048500"/>
            <a:gd name="connsiteY87" fmla="*/ 95250 h 1447800"/>
            <a:gd name="connsiteX88" fmla="*/ 5829300 w 7048500"/>
            <a:gd name="connsiteY88" fmla="*/ 933450 h 1447800"/>
            <a:gd name="connsiteX89" fmla="*/ 5981700 w 7048500"/>
            <a:gd name="connsiteY89" fmla="*/ 238125 h 1447800"/>
            <a:gd name="connsiteX90" fmla="*/ 6057900 w 7048500"/>
            <a:gd name="connsiteY90" fmla="*/ 790575 h 1447800"/>
            <a:gd name="connsiteX91" fmla="*/ 6191250 w 7048500"/>
            <a:gd name="connsiteY91" fmla="*/ 123825 h 1447800"/>
            <a:gd name="connsiteX92" fmla="*/ 6334125 w 7048500"/>
            <a:gd name="connsiteY92" fmla="*/ 1209675 h 1447800"/>
            <a:gd name="connsiteX93" fmla="*/ 6457950 w 7048500"/>
            <a:gd name="connsiteY93" fmla="*/ 57150 h 1447800"/>
            <a:gd name="connsiteX94" fmla="*/ 6677025 w 7048500"/>
            <a:gd name="connsiteY94" fmla="*/ 790575 h 1447800"/>
            <a:gd name="connsiteX95" fmla="*/ 6810375 w 7048500"/>
            <a:gd name="connsiteY95" fmla="*/ 180975 h 1447800"/>
            <a:gd name="connsiteX96" fmla="*/ 6896100 w 7048500"/>
            <a:gd name="connsiteY96" fmla="*/ 723900 h 1447800"/>
            <a:gd name="connsiteX97" fmla="*/ 6934200 w 7048500"/>
            <a:gd name="connsiteY97" fmla="*/ 485775 h 1447800"/>
            <a:gd name="connsiteX98" fmla="*/ 6981825 w 7048500"/>
            <a:gd name="connsiteY98" fmla="*/ 619125 h 1447800"/>
            <a:gd name="connsiteX99" fmla="*/ 7048500 w 7048500"/>
            <a:gd name="connsiteY99" fmla="*/ 600075 h 1447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</a:cxnLst>
          <a:rect l="l" t="t" r="r" b="b"/>
          <a:pathLst>
            <a:path w="7048500" h="1447800">
              <a:moveTo>
                <a:pt x="0" y="609600"/>
              </a:moveTo>
              <a:lnTo>
                <a:pt x="180975" y="619125"/>
              </a:lnTo>
              <a:lnTo>
                <a:pt x="285750" y="0"/>
              </a:lnTo>
              <a:lnTo>
                <a:pt x="314325" y="828675"/>
              </a:lnTo>
              <a:lnTo>
                <a:pt x="485775" y="152400"/>
              </a:lnTo>
              <a:lnTo>
                <a:pt x="552450" y="1447800"/>
              </a:lnTo>
              <a:lnTo>
                <a:pt x="762000" y="428625"/>
              </a:lnTo>
              <a:lnTo>
                <a:pt x="866775" y="1114425"/>
              </a:lnTo>
              <a:lnTo>
                <a:pt x="971550" y="28575"/>
              </a:lnTo>
              <a:lnTo>
                <a:pt x="1152525" y="1028700"/>
              </a:lnTo>
              <a:lnTo>
                <a:pt x="1228725" y="533400"/>
              </a:lnTo>
              <a:lnTo>
                <a:pt x="1295400" y="742950"/>
              </a:lnTo>
              <a:lnTo>
                <a:pt x="1371600" y="447675"/>
              </a:lnTo>
              <a:lnTo>
                <a:pt x="1409700" y="723900"/>
              </a:lnTo>
              <a:lnTo>
                <a:pt x="1457325" y="495300"/>
              </a:lnTo>
              <a:lnTo>
                <a:pt x="1533525" y="704850"/>
              </a:lnTo>
              <a:lnTo>
                <a:pt x="1581150" y="466725"/>
              </a:lnTo>
              <a:lnTo>
                <a:pt x="1343025" y="561975"/>
              </a:lnTo>
              <a:lnTo>
                <a:pt x="1495425" y="638175"/>
              </a:lnTo>
              <a:lnTo>
                <a:pt x="1685925" y="476250"/>
              </a:lnTo>
              <a:lnTo>
                <a:pt x="1733550" y="704850"/>
              </a:lnTo>
              <a:lnTo>
                <a:pt x="1295400" y="638175"/>
              </a:lnTo>
              <a:lnTo>
                <a:pt x="1457325" y="390525"/>
              </a:lnTo>
              <a:lnTo>
                <a:pt x="1838325" y="676275"/>
              </a:lnTo>
              <a:lnTo>
                <a:pt x="1885950" y="447675"/>
              </a:lnTo>
              <a:lnTo>
                <a:pt x="1933575" y="695325"/>
              </a:lnTo>
              <a:lnTo>
                <a:pt x="2105025" y="466725"/>
              </a:lnTo>
              <a:lnTo>
                <a:pt x="2105025" y="647700"/>
              </a:lnTo>
              <a:lnTo>
                <a:pt x="1790700" y="552450"/>
              </a:lnTo>
              <a:lnTo>
                <a:pt x="2057400" y="704850"/>
              </a:lnTo>
              <a:lnTo>
                <a:pt x="2247900" y="438150"/>
              </a:lnTo>
              <a:lnTo>
                <a:pt x="2266950" y="704850"/>
              </a:lnTo>
              <a:lnTo>
                <a:pt x="2362200" y="409575"/>
              </a:lnTo>
              <a:lnTo>
                <a:pt x="2495550" y="704850"/>
              </a:lnTo>
              <a:lnTo>
                <a:pt x="2200275" y="590550"/>
              </a:lnTo>
              <a:lnTo>
                <a:pt x="2466975" y="438150"/>
              </a:lnTo>
              <a:lnTo>
                <a:pt x="2543175" y="381000"/>
              </a:lnTo>
              <a:lnTo>
                <a:pt x="2619375" y="742950"/>
              </a:lnTo>
              <a:lnTo>
                <a:pt x="2667000" y="542925"/>
              </a:lnTo>
              <a:lnTo>
                <a:pt x="2724150" y="666750"/>
              </a:lnTo>
              <a:lnTo>
                <a:pt x="2733675" y="438150"/>
              </a:lnTo>
              <a:lnTo>
                <a:pt x="2800350" y="685800"/>
              </a:lnTo>
              <a:lnTo>
                <a:pt x="2914650" y="504825"/>
              </a:lnTo>
              <a:lnTo>
                <a:pt x="2933700" y="647700"/>
              </a:lnTo>
              <a:lnTo>
                <a:pt x="3009900" y="476250"/>
              </a:lnTo>
              <a:lnTo>
                <a:pt x="2667000" y="504825"/>
              </a:lnTo>
              <a:lnTo>
                <a:pt x="2809875" y="647700"/>
              </a:lnTo>
              <a:lnTo>
                <a:pt x="2886075" y="447675"/>
              </a:lnTo>
              <a:lnTo>
                <a:pt x="3086100" y="666750"/>
              </a:lnTo>
              <a:lnTo>
                <a:pt x="3267075" y="409575"/>
              </a:lnTo>
              <a:lnTo>
                <a:pt x="3305175" y="647700"/>
              </a:lnTo>
              <a:lnTo>
                <a:pt x="3114675" y="533400"/>
              </a:lnTo>
              <a:lnTo>
                <a:pt x="3448050" y="676275"/>
              </a:lnTo>
              <a:lnTo>
                <a:pt x="3495675" y="371475"/>
              </a:lnTo>
              <a:lnTo>
                <a:pt x="3524250" y="657225"/>
              </a:lnTo>
              <a:lnTo>
                <a:pt x="3648075" y="447675"/>
              </a:lnTo>
              <a:lnTo>
                <a:pt x="3848100" y="657225"/>
              </a:lnTo>
              <a:lnTo>
                <a:pt x="3905250" y="466725"/>
              </a:lnTo>
              <a:lnTo>
                <a:pt x="4114800" y="676275"/>
              </a:lnTo>
              <a:lnTo>
                <a:pt x="4114800" y="476250"/>
              </a:lnTo>
              <a:lnTo>
                <a:pt x="3962400" y="561975"/>
              </a:lnTo>
              <a:lnTo>
                <a:pt x="3924300" y="657225"/>
              </a:lnTo>
              <a:lnTo>
                <a:pt x="4095750" y="542925"/>
              </a:lnTo>
              <a:lnTo>
                <a:pt x="4171950" y="457200"/>
              </a:lnTo>
              <a:lnTo>
                <a:pt x="4324350" y="742950"/>
              </a:lnTo>
              <a:lnTo>
                <a:pt x="4419600" y="457200"/>
              </a:lnTo>
              <a:lnTo>
                <a:pt x="4486275" y="685800"/>
              </a:lnTo>
              <a:lnTo>
                <a:pt x="4552950" y="504825"/>
              </a:lnTo>
              <a:lnTo>
                <a:pt x="4410075" y="600075"/>
              </a:lnTo>
              <a:lnTo>
                <a:pt x="4657725" y="695325"/>
              </a:lnTo>
              <a:lnTo>
                <a:pt x="4686300" y="485775"/>
              </a:lnTo>
              <a:lnTo>
                <a:pt x="4819650" y="714375"/>
              </a:lnTo>
              <a:lnTo>
                <a:pt x="4829175" y="447675"/>
              </a:lnTo>
              <a:lnTo>
                <a:pt x="5029200" y="685800"/>
              </a:lnTo>
              <a:lnTo>
                <a:pt x="4762500" y="514350"/>
              </a:lnTo>
              <a:lnTo>
                <a:pt x="4857750" y="704850"/>
              </a:lnTo>
              <a:lnTo>
                <a:pt x="4972050" y="476250"/>
              </a:lnTo>
              <a:lnTo>
                <a:pt x="5038725" y="581025"/>
              </a:lnTo>
              <a:lnTo>
                <a:pt x="4933950" y="485775"/>
              </a:lnTo>
              <a:lnTo>
                <a:pt x="5124450" y="723900"/>
              </a:lnTo>
              <a:lnTo>
                <a:pt x="5200650" y="552450"/>
              </a:lnTo>
              <a:lnTo>
                <a:pt x="5238750" y="685800"/>
              </a:lnTo>
              <a:lnTo>
                <a:pt x="5114925" y="552450"/>
              </a:lnTo>
              <a:lnTo>
                <a:pt x="5286375" y="457200"/>
              </a:lnTo>
              <a:lnTo>
                <a:pt x="5381625" y="781050"/>
              </a:lnTo>
              <a:lnTo>
                <a:pt x="5410200" y="400050"/>
              </a:lnTo>
              <a:lnTo>
                <a:pt x="5610225" y="819150"/>
              </a:lnTo>
              <a:lnTo>
                <a:pt x="5705475" y="95250"/>
              </a:lnTo>
              <a:lnTo>
                <a:pt x="5829300" y="933450"/>
              </a:lnTo>
              <a:lnTo>
                <a:pt x="5981700" y="238125"/>
              </a:lnTo>
              <a:lnTo>
                <a:pt x="6057900" y="790575"/>
              </a:lnTo>
              <a:lnTo>
                <a:pt x="6191250" y="123825"/>
              </a:lnTo>
              <a:lnTo>
                <a:pt x="6334125" y="1209675"/>
              </a:lnTo>
              <a:lnTo>
                <a:pt x="6457950" y="57150"/>
              </a:lnTo>
              <a:lnTo>
                <a:pt x="6677025" y="790575"/>
              </a:lnTo>
              <a:lnTo>
                <a:pt x="6810375" y="180975"/>
              </a:lnTo>
              <a:lnTo>
                <a:pt x="6896100" y="723900"/>
              </a:lnTo>
              <a:lnTo>
                <a:pt x="6934200" y="485775"/>
              </a:lnTo>
              <a:lnTo>
                <a:pt x="6981825" y="619125"/>
              </a:lnTo>
              <a:lnTo>
                <a:pt x="7048500" y="600075"/>
              </a:lnTo>
            </a:path>
          </a:pathLst>
        </a:custGeom>
        <a:noFill/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3</xdr:col>
      <xdr:colOff>531600</xdr:colOff>
      <xdr:row>6</xdr:row>
      <xdr:rowOff>138790</xdr:rowOff>
    </xdr:from>
    <xdr:to>
      <xdr:col>5</xdr:col>
      <xdr:colOff>277023</xdr:colOff>
      <xdr:row>13</xdr:row>
      <xdr:rowOff>34016</xdr:rowOff>
    </xdr:to>
    <xdr:pic>
      <xdr:nvPicPr>
        <xdr:cNvPr id="13" name="Grafik 12" descr="Key in black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941300" y="1767565"/>
          <a:ext cx="1269423" cy="1276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551670</xdr:colOff>
      <xdr:row>3</xdr:row>
      <xdr:rowOff>156793</xdr:rowOff>
    </xdr:from>
    <xdr:to>
      <xdr:col>8</xdr:col>
      <xdr:colOff>640972</xdr:colOff>
      <xdr:row>15</xdr:row>
      <xdr:rowOff>176892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pSpPr/>
      </xdr:nvGrpSpPr>
      <xdr:grpSpPr>
        <a:xfrm>
          <a:off x="3569190" y="1200733"/>
          <a:ext cx="2443882" cy="2336579"/>
          <a:chOff x="3542520" y="4347793"/>
          <a:chExt cx="2375302" cy="2382299"/>
        </a:xfrm>
      </xdr:grpSpPr>
      <xdr:grpSp>
        <xdr:nvGrpSpPr>
          <xdr:cNvPr id="15" name="Gruppieren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GrpSpPr/>
        </xdr:nvGrpSpPr>
        <xdr:grpSpPr>
          <a:xfrm>
            <a:off x="3542520" y="4347793"/>
            <a:ext cx="2375302" cy="2381250"/>
            <a:chOff x="3542520" y="4347793"/>
            <a:chExt cx="2375302" cy="2381250"/>
          </a:xfrm>
        </xdr:grpSpPr>
        <xdr:sp macro="" textlink="">
          <xdr:nvSpPr>
            <xdr:cNvPr id="21" name="Trapezoid 20">
              <a:extLst>
                <a:ext uri="{FF2B5EF4-FFF2-40B4-BE49-F238E27FC236}">
                  <a16:creationId xmlns:a16="http://schemas.microsoft.com/office/drawing/2014/main" id="{00000000-0008-0000-0200-000015000000}"/>
                </a:ext>
              </a:extLst>
            </xdr:cNvPr>
            <xdr:cNvSpPr/>
          </xdr:nvSpPr>
          <xdr:spPr>
            <a:xfrm>
              <a:off x="3542520" y="6128968"/>
              <a:ext cx="2368324" cy="600075"/>
            </a:xfrm>
            <a:prstGeom prst="trapezoid">
              <a:avLst>
                <a:gd name="adj" fmla="val 100093"/>
              </a:avLst>
            </a:prstGeom>
            <a:solidFill>
              <a:srgbClr val="FFFF99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  <xdr:sp macro="" textlink="">
          <xdr:nvSpPr>
            <xdr:cNvPr id="22" name="Trapezoid 21"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:cNvPr>
            <xdr:cNvSpPr/>
          </xdr:nvSpPr>
          <xdr:spPr>
            <a:xfrm rot="16200000">
              <a:off x="4419314" y="5240009"/>
              <a:ext cx="2381250" cy="596818"/>
            </a:xfrm>
            <a:prstGeom prst="trapezoid">
              <a:avLst>
                <a:gd name="adj" fmla="val 100093"/>
              </a:avLst>
            </a:prstGeom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  <xdr:sp macro="" textlink="">
          <xdr:nvSpPr>
            <xdr:cNvPr id="23" name="Trapezoid 22">
              <a:extLst>
                <a:ext uri="{FF2B5EF4-FFF2-40B4-BE49-F238E27FC236}">
                  <a16:creationId xmlns:a16="http://schemas.microsoft.com/office/drawing/2014/main" id="{00000000-0008-0000-0200-000017000000}"/>
                </a:ext>
              </a:extLst>
            </xdr:cNvPr>
            <xdr:cNvSpPr/>
          </xdr:nvSpPr>
          <xdr:spPr>
            <a:xfrm rot="5400000" flipH="1">
              <a:off x="2659005" y="5240009"/>
              <a:ext cx="2381250" cy="596818"/>
            </a:xfrm>
            <a:prstGeom prst="trapezoid">
              <a:avLst>
                <a:gd name="adj" fmla="val 100093"/>
              </a:avLst>
            </a:prstGeom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  <xdr:sp macro="" textlink="">
          <xdr:nvSpPr>
            <xdr:cNvPr id="24" name="Trapezoid 23">
              <a:extLst>
                <a:ext uri="{FF2B5EF4-FFF2-40B4-BE49-F238E27FC236}">
                  <a16:creationId xmlns:a16="http://schemas.microsoft.com/office/drawing/2014/main" id="{00000000-0008-0000-0200-000018000000}"/>
                </a:ext>
              </a:extLst>
            </xdr:cNvPr>
            <xdr:cNvSpPr/>
          </xdr:nvSpPr>
          <xdr:spPr>
            <a:xfrm flipV="1">
              <a:off x="3549498" y="4350823"/>
              <a:ext cx="2368324" cy="600075"/>
            </a:xfrm>
            <a:prstGeom prst="trapezoid">
              <a:avLst>
                <a:gd name="adj" fmla="val 100093"/>
              </a:avLst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</xdr:grpSp>
      <xdr:sp macro="" textlink="' '!A219">
        <xdr:nvSpPr>
          <xdr:cNvPr id="16" name="Textfeld 15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SpPr txBox="1"/>
        </xdr:nvSpPr>
        <xdr:spPr>
          <a:xfrm>
            <a:off x="3925412" y="6130017"/>
            <a:ext cx="1629407" cy="6000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fld id="{3332750F-436E-4886-8771-B6BA2D12C947}" type="TxLink">
              <a:rPr lang="en-US" sz="1400">
                <a:solidFill>
                  <a:schemeClr val="tx1"/>
                </a:solidFill>
                <a:latin typeface="+mn-lt"/>
                <a:ea typeface="+mn-ea"/>
                <a:cs typeface="+mn-cs"/>
              </a:rPr>
              <a:pPr marL="0" indent="0" algn="ctr"/>
              <a:t>Niveau relationnel</a:t>
            </a:fld>
            <a:endParaRPr lang="de-CH" sz="1400">
              <a:solidFill>
                <a:schemeClr val="tx1"/>
              </a:solidFill>
              <a:latin typeface="+mn-lt"/>
              <a:ea typeface="+mn-ea"/>
              <a:cs typeface="+mn-cs"/>
            </a:endParaRPr>
          </a:p>
        </xdr:txBody>
      </xdr:sp>
      <xdr:sp macro="" textlink="' '!A221">
        <xdr:nvSpPr>
          <xdr:cNvPr id="17" name="Textfeld 1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SpPr txBox="1"/>
        </xdr:nvSpPr>
        <xdr:spPr>
          <a:xfrm>
            <a:off x="3944359" y="4348842"/>
            <a:ext cx="1629407" cy="6000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fld id="{1F0EB714-78D5-4BDD-9C7F-0E8CEAF3B1BE}" type="TxLink">
              <a:rPr lang="en-US" sz="1400">
                <a:solidFill>
                  <a:schemeClr val="tx1"/>
                </a:solidFill>
                <a:latin typeface="+mn-lt"/>
                <a:ea typeface="+mn-ea"/>
                <a:cs typeface="+mn-cs"/>
              </a:rPr>
              <a:pPr marL="0" indent="0" algn="ctr"/>
              <a:t>Niveau factuel</a:t>
            </a:fld>
            <a:endParaRPr lang="de-CH" sz="1400">
              <a:solidFill>
                <a:schemeClr val="tx1"/>
              </a:solidFill>
              <a:latin typeface="+mn-lt"/>
              <a:ea typeface="+mn-ea"/>
              <a:cs typeface="+mn-cs"/>
            </a:endParaRPr>
          </a:p>
        </xdr:txBody>
      </xdr:sp>
      <xdr:sp macro="" textlink="' '!A222">
        <xdr:nvSpPr>
          <xdr:cNvPr id="18" name="Textfeld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 txBox="1"/>
        </xdr:nvSpPr>
        <xdr:spPr>
          <a:xfrm rot="16200000">
            <a:off x="3030529" y="5236296"/>
            <a:ext cx="1638300" cy="59681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fld id="{87E40284-87C2-4441-BD39-B7D4E510EC2D}" type="TxLink">
              <a:rPr lang="en-US" sz="1400">
                <a:solidFill>
                  <a:schemeClr val="tx1"/>
                </a:solidFill>
                <a:latin typeface="+mn-lt"/>
                <a:ea typeface="+mn-ea"/>
                <a:cs typeface="+mn-cs"/>
              </a:rPr>
              <a:pPr marL="0" indent="0" algn="ctr"/>
              <a:t>Autorévélation</a:t>
            </a:fld>
            <a:endParaRPr lang="de-CH" sz="1400">
              <a:solidFill>
                <a:schemeClr val="tx1"/>
              </a:solidFill>
              <a:latin typeface="+mn-lt"/>
              <a:ea typeface="+mn-ea"/>
              <a:cs typeface="+mn-cs"/>
            </a:endParaRPr>
          </a:p>
        </xdr:txBody>
      </xdr:sp>
      <xdr:sp macro="" textlink="' '!A220">
        <xdr:nvSpPr>
          <xdr:cNvPr id="19" name="Textfeld 18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SpPr txBox="1"/>
        </xdr:nvSpPr>
        <xdr:spPr>
          <a:xfrm rot="5400000" flipH="1">
            <a:off x="4792512" y="5255348"/>
            <a:ext cx="1638300" cy="59681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fld id="{6E993A27-B825-4171-8AE8-F84E59DB7348}" type="TxLink">
              <a:rPr lang="en-US" sz="1400">
                <a:solidFill>
                  <a:schemeClr val="tx1"/>
                </a:solidFill>
                <a:latin typeface="+mn-lt"/>
                <a:ea typeface="+mn-ea"/>
                <a:cs typeface="+mn-cs"/>
              </a:rPr>
              <a:pPr marL="0" indent="0" algn="ctr"/>
              <a:t>Appel</a:t>
            </a:fld>
            <a:endParaRPr lang="de-CH" sz="1400">
              <a:solidFill>
                <a:schemeClr val="tx1"/>
              </a:solidFill>
              <a:latin typeface="+mn-lt"/>
              <a:ea typeface="+mn-ea"/>
              <a:cs typeface="+mn-cs"/>
            </a:endParaRPr>
          </a:p>
        </xdr:txBody>
      </xdr:sp>
      <xdr:sp macro="" textlink="' '!A223">
        <xdr:nvSpPr>
          <xdr:cNvPr id="20" name="Textfeld 19">
            <a:extLst>
              <a:ext uri="{FF2B5EF4-FFF2-40B4-BE49-F238E27FC236}">
                <a16:creationId xmlns:a16="http://schemas.microsoft.com/office/drawing/2014/main" id="{00000000-0008-0000-0200-000014000000}"/>
              </a:ext>
            </a:extLst>
          </xdr:cNvPr>
          <xdr:cNvSpPr txBox="1"/>
        </xdr:nvSpPr>
        <xdr:spPr>
          <a:xfrm>
            <a:off x="4147177" y="4952631"/>
            <a:ext cx="1165216" cy="6000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ctr"/>
            <a:fld id="{34BB2B1E-2885-41A5-9E26-23D81E8BC91E}" type="TxLink">
              <a:rPr lang="en-US" sz="1600" b="1" i="0" u="none" strike="noStrike">
                <a:solidFill>
                  <a:srgbClr val="000000"/>
                </a:solidFill>
                <a:latin typeface="+mn-lt"/>
                <a:ea typeface="+mn-ea"/>
                <a:cs typeface="Arial"/>
              </a:rPr>
              <a:pPr marL="0" indent="0" algn="ctr"/>
              <a:t>Déclaration</a:t>
            </a:fld>
            <a:endParaRPr lang="de-CH" sz="1600" b="1">
              <a:solidFill>
                <a:schemeClr val="tx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0</xdr:col>
      <xdr:colOff>158597</xdr:colOff>
      <xdr:row>7</xdr:row>
      <xdr:rowOff>134577</xdr:rowOff>
    </xdr:from>
    <xdr:to>
      <xdr:col>2</xdr:col>
      <xdr:colOff>180290</xdr:colOff>
      <xdr:row>11</xdr:row>
      <xdr:rowOff>54253</xdr:rowOff>
    </xdr:to>
    <xdr:pic>
      <xdr:nvPicPr>
        <xdr:cNvPr id="25" name="Grafik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58597" y="1963377"/>
          <a:ext cx="669393" cy="719776"/>
        </a:xfrm>
        <a:prstGeom prst="rect">
          <a:avLst/>
        </a:prstGeom>
      </xdr:spPr>
    </xdr:pic>
    <xdr:clientData/>
  </xdr:twoCellAnchor>
  <xdr:twoCellAnchor>
    <xdr:from>
      <xdr:col>2</xdr:col>
      <xdr:colOff>120100</xdr:colOff>
      <xdr:row>8</xdr:row>
      <xdr:rowOff>99923</xdr:rowOff>
    </xdr:from>
    <xdr:to>
      <xdr:col>3</xdr:col>
      <xdr:colOff>168099</xdr:colOff>
      <xdr:row>9</xdr:row>
      <xdr:rowOff>151185</xdr:rowOff>
    </xdr:to>
    <xdr:sp macro="" textlink="">
      <xdr:nvSpPr>
        <xdr:cNvPr id="26" name="Gleichschenkliges Dreieck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 rot="14509597">
          <a:off x="1047156" y="1849392"/>
          <a:ext cx="251287" cy="809999"/>
        </a:xfrm>
        <a:prstGeom prst="triangle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2</xdr:col>
      <xdr:colOff>158026</xdr:colOff>
      <xdr:row>9</xdr:row>
      <xdr:rowOff>10279</xdr:rowOff>
    </xdr:from>
    <xdr:to>
      <xdr:col>3</xdr:col>
      <xdr:colOff>204439</xdr:colOff>
      <xdr:row>10</xdr:row>
      <xdr:rowOff>61526</xdr:rowOff>
    </xdr:to>
    <xdr:sp macro="" textlink="">
      <xdr:nvSpPr>
        <xdr:cNvPr id="27" name="Gleichschenkliges Dreieck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 rot="15631801">
          <a:off x="1084297" y="1960558"/>
          <a:ext cx="251272" cy="808413"/>
        </a:xfrm>
        <a:prstGeom prst="triangle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2</xdr:col>
      <xdr:colOff>161740</xdr:colOff>
      <xdr:row>9</xdr:row>
      <xdr:rowOff>128199</xdr:rowOff>
    </xdr:from>
    <xdr:to>
      <xdr:col>3</xdr:col>
      <xdr:colOff>208153</xdr:colOff>
      <xdr:row>10</xdr:row>
      <xdr:rowOff>179446</xdr:rowOff>
    </xdr:to>
    <xdr:sp macro="" textlink="">
      <xdr:nvSpPr>
        <xdr:cNvPr id="28" name="Gleichschenkliges Dreieck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 rot="16734708">
          <a:off x="1088011" y="2078478"/>
          <a:ext cx="251272" cy="808413"/>
        </a:xfrm>
        <a:prstGeom prst="triangle">
          <a:avLst/>
        </a:prstGeom>
        <a:solidFill>
          <a:srgbClr val="FFFF99"/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2</xdr:col>
      <xdr:colOff>124905</xdr:colOff>
      <xdr:row>10</xdr:row>
      <xdr:rowOff>44417</xdr:rowOff>
    </xdr:from>
    <xdr:to>
      <xdr:col>3</xdr:col>
      <xdr:colOff>171318</xdr:colOff>
      <xdr:row>11</xdr:row>
      <xdr:rowOff>95664</xdr:rowOff>
    </xdr:to>
    <xdr:sp macro="" textlink="">
      <xdr:nvSpPr>
        <xdr:cNvPr id="29" name="Gleichschenkliges Dreieck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 rot="17799705">
          <a:off x="1051176" y="2194721"/>
          <a:ext cx="251272" cy="808413"/>
        </a:xfrm>
        <a:prstGeom prst="triangle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3</xdr:col>
      <xdr:colOff>479384</xdr:colOff>
      <xdr:row>5</xdr:row>
      <xdr:rowOff>34017</xdr:rowOff>
    </xdr:from>
    <xdr:to>
      <xdr:col>5</xdr:col>
      <xdr:colOff>329239</xdr:colOff>
      <xdr:row>6</xdr:row>
      <xdr:rowOff>82843</xdr:rowOff>
    </xdr:to>
    <xdr:sp macro="" textlink="' '!A224">
      <xdr:nvSpPr>
        <xdr:cNvPr id="30" name="Textfeld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1889084" y="1462767"/>
          <a:ext cx="137385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1FBCE6B6-1326-45FB-B3BE-CDA794517F32}" type="TxLink">
            <a:rPr lang="en-US" sz="1200" b="0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Cryptage</a:t>
          </a:fld>
          <a:endParaRPr lang="de-CH" sz="1200" b="0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9</xdr:col>
      <xdr:colOff>160351</xdr:colOff>
      <xdr:row>6</xdr:row>
      <xdr:rowOff>138790</xdr:rowOff>
    </xdr:from>
    <xdr:to>
      <xdr:col>10</xdr:col>
      <xdr:colOff>669414</xdr:colOff>
      <xdr:row>13</xdr:row>
      <xdr:rowOff>35665</xdr:rowOff>
    </xdr:to>
    <xdr:pic>
      <xdr:nvPicPr>
        <xdr:cNvPr id="31" name="Grafik 30" descr="Key in black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2051" y="1767565"/>
          <a:ext cx="1271063" cy="127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103414</xdr:colOff>
      <xdr:row>5</xdr:row>
      <xdr:rowOff>34017</xdr:rowOff>
    </xdr:from>
    <xdr:to>
      <xdr:col>2</xdr:col>
      <xdr:colOff>190500</xdr:colOff>
      <xdr:row>6</xdr:row>
      <xdr:rowOff>82843</xdr:rowOff>
    </xdr:to>
    <xdr:sp macro="" textlink="' '!A226">
      <xdr:nvSpPr>
        <xdr:cNvPr id="32" name="Textfeld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103414" y="1462767"/>
          <a:ext cx="734786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8CC76CF7-3765-406F-89B1-8658F3A378B2}" type="TxLink">
            <a:rPr lang="en-US" sz="1200" b="0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Émetteur</a:t>
          </a:fld>
          <a:endParaRPr lang="de-CH" sz="1200" b="0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14</xdr:col>
      <xdr:colOff>43418</xdr:colOff>
      <xdr:row>5</xdr:row>
      <xdr:rowOff>34017</xdr:rowOff>
    </xdr:from>
    <xdr:to>
      <xdr:col>16</xdr:col>
      <xdr:colOff>158881</xdr:colOff>
      <xdr:row>6</xdr:row>
      <xdr:rowOff>82843</xdr:rowOff>
    </xdr:to>
    <xdr:sp macro="" textlink="' '!A227">
      <xdr:nvSpPr>
        <xdr:cNvPr id="33" name="Textfeld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8453993" y="1462767"/>
          <a:ext cx="991763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FE8E3DB8-2CD4-410D-9A82-7CDD885CAFA0}" type="TxLink">
            <a:rPr lang="en-US" sz="1200" b="0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Récepteur</a:t>
          </a:fld>
          <a:endParaRPr lang="de-CH" sz="1200" b="0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9</xdr:col>
      <xdr:colOff>171450</xdr:colOff>
      <xdr:row>5</xdr:row>
      <xdr:rowOff>34017</xdr:rowOff>
    </xdr:from>
    <xdr:to>
      <xdr:col>10</xdr:col>
      <xdr:colOff>682710</xdr:colOff>
      <xdr:row>6</xdr:row>
      <xdr:rowOff>82843</xdr:rowOff>
    </xdr:to>
    <xdr:sp macro="" textlink="' '!A225">
      <xdr:nvSpPr>
        <xdr:cNvPr id="34" name="Textfeld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6153150" y="1462767"/>
          <a:ext cx="127326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473D110C-7046-4E38-A897-8688B1213C1A}" type="TxLink">
            <a:rPr lang="en-US" sz="1200" b="0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Décryptage</a:t>
          </a:fld>
          <a:endParaRPr lang="de-CH" sz="1200" b="0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12</xdr:col>
      <xdr:colOff>259067</xdr:colOff>
      <xdr:row>7</xdr:row>
      <xdr:rowOff>104775</xdr:rowOff>
    </xdr:from>
    <xdr:to>
      <xdr:col>16</xdr:col>
      <xdr:colOff>95250</xdr:colOff>
      <xdr:row>11</xdr:row>
      <xdr:rowOff>114623</xdr:rowOff>
    </xdr:to>
    <xdr:grpSp>
      <xdr:nvGrpSpPr>
        <xdr:cNvPr id="35" name="Gruppieren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GrpSpPr/>
      </xdr:nvGrpSpPr>
      <xdr:grpSpPr>
        <a:xfrm>
          <a:off x="8366747" y="1941195"/>
          <a:ext cx="1283983" cy="802328"/>
          <a:chOff x="8136242" y="2133600"/>
          <a:chExt cx="1245883" cy="809948"/>
        </a:xfrm>
      </xdr:grpSpPr>
      <xdr:grpSp>
        <xdr:nvGrpSpPr>
          <xdr:cNvPr id="36" name="Gruppieren 35"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GrpSpPr/>
        </xdr:nvGrpSpPr>
        <xdr:grpSpPr>
          <a:xfrm>
            <a:off x="8136242" y="2233028"/>
            <a:ext cx="838153" cy="596542"/>
            <a:chOff x="8168854" y="5201291"/>
            <a:chExt cx="850389" cy="596542"/>
          </a:xfrm>
        </xdr:grpSpPr>
        <xdr:sp macro="" textlink="">
          <xdr:nvSpPr>
            <xdr:cNvPr id="38" name="Gleichschenkliges Dreieck 37">
              <a:extLst>
                <a:ext uri="{FF2B5EF4-FFF2-40B4-BE49-F238E27FC236}">
                  <a16:creationId xmlns:a16="http://schemas.microsoft.com/office/drawing/2014/main" id="{00000000-0008-0000-0200-000026000000}"/>
                </a:ext>
              </a:extLst>
            </xdr:cNvPr>
            <xdr:cNvSpPr/>
          </xdr:nvSpPr>
          <xdr:spPr>
            <a:xfrm rot="7090403" flipH="1">
              <a:off x="8488243" y="4922291"/>
              <a:ext cx="252000" cy="810000"/>
            </a:xfrm>
            <a:prstGeom prst="triangle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  <xdr:sp macro="" textlink="">
          <xdr:nvSpPr>
            <xdr:cNvPr id="39" name="Gleichschenkliges Dreieck 38">
              <a:extLst>
                <a:ext uri="{FF2B5EF4-FFF2-40B4-BE49-F238E27FC236}">
                  <a16:creationId xmlns:a16="http://schemas.microsoft.com/office/drawing/2014/main" id="{00000000-0008-0000-0200-000027000000}"/>
                </a:ext>
              </a:extLst>
            </xdr:cNvPr>
            <xdr:cNvSpPr/>
          </xdr:nvSpPr>
          <xdr:spPr>
            <a:xfrm rot="5968199" flipH="1">
              <a:off x="8452006" y="5029808"/>
              <a:ext cx="252000" cy="810479"/>
            </a:xfrm>
            <a:prstGeom prst="triangle">
              <a:avLst/>
            </a:prstGeom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  <xdr:sp macro="" textlink="">
          <xdr:nvSpPr>
            <xdr:cNvPr id="40" name="Gleichschenkliges Dreieck 39">
              <a:extLst>
                <a:ext uri="{FF2B5EF4-FFF2-40B4-BE49-F238E27FC236}">
                  <a16:creationId xmlns:a16="http://schemas.microsoft.com/office/drawing/2014/main" id="{00000000-0008-0000-0200-000028000000}"/>
                </a:ext>
              </a:extLst>
            </xdr:cNvPr>
            <xdr:cNvSpPr/>
          </xdr:nvSpPr>
          <xdr:spPr>
            <a:xfrm rot="4865292" flipH="1">
              <a:off x="8448094" y="5145500"/>
              <a:ext cx="252000" cy="810479"/>
            </a:xfrm>
            <a:prstGeom prst="triangle">
              <a:avLst/>
            </a:prstGeom>
            <a:solidFill>
              <a:srgbClr val="FFFF99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  <xdr:sp macro="" textlink="">
          <xdr:nvSpPr>
            <xdr:cNvPr id="41" name="Gleichschenkliges Dreieck 40">
              <a:extLst>
                <a:ext uri="{FF2B5EF4-FFF2-40B4-BE49-F238E27FC236}">
                  <a16:creationId xmlns:a16="http://schemas.microsoft.com/office/drawing/2014/main" id="{00000000-0008-0000-0200-000029000000}"/>
                </a:ext>
              </a:extLst>
            </xdr:cNvPr>
            <xdr:cNvSpPr/>
          </xdr:nvSpPr>
          <xdr:spPr>
            <a:xfrm rot="3800295" flipH="1">
              <a:off x="8479025" y="5266593"/>
              <a:ext cx="252000" cy="810479"/>
            </a:xfrm>
            <a:prstGeom prst="triangle">
              <a:avLst/>
            </a:prstGeom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</xdr:grpSp>
      <xdr:pic>
        <xdr:nvPicPr>
          <xdr:cNvPr id="37" name="Grafik 36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105" t="4737" r="15790" b="4211"/>
          <a:stretch/>
        </xdr:blipFill>
        <xdr:spPr>
          <a:xfrm>
            <a:off x="8829675" y="2133600"/>
            <a:ext cx="552450" cy="809948"/>
          </a:xfrm>
          <a:prstGeom prst="rect">
            <a:avLst/>
          </a:prstGeom>
        </xdr:spPr>
      </xdr:pic>
    </xdr:grpSp>
    <xdr:clientData/>
  </xdr:twoCellAnchor>
  <xdr:oneCellAnchor>
    <xdr:from>
      <xdr:col>3</xdr:col>
      <xdr:colOff>507862</xdr:colOff>
      <xdr:row>22</xdr:row>
      <xdr:rowOff>169424</xdr:rowOff>
    </xdr:from>
    <xdr:ext cx="1316899" cy="593239"/>
    <xdr:sp macro="" textlink="' '!A231">
      <xdr:nvSpPr>
        <xdr:cNvPr id="42" name="Textfeld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1917562" y="4893824"/>
          <a:ext cx="1316899" cy="593239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264F24BB-CA4E-43B1-B645-71AA8F643311}" type="TxLink">
            <a:rPr lang="en-US" sz="1400">
              <a:solidFill>
                <a:schemeClr val="bg1"/>
              </a:solidFill>
              <a:latin typeface="+mn-lt"/>
              <a:ea typeface="+mn-ea"/>
              <a:cs typeface="+mn-cs"/>
            </a:rPr>
            <a:pPr marL="0" indent="0" algn="ctr"/>
            <a:t>Retour
(Feedback)</a:t>
          </a:fld>
          <a:endParaRPr lang="fr-CH" sz="14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137433</xdr:colOff>
      <xdr:row>22</xdr:row>
      <xdr:rowOff>169424</xdr:rowOff>
    </xdr:from>
    <xdr:ext cx="1316899" cy="593239"/>
    <xdr:sp macro="" textlink="' '!A230">
      <xdr:nvSpPr>
        <xdr:cNvPr id="43" name="Textfeld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6119133" y="4893824"/>
          <a:ext cx="1316899" cy="593239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43A4F42E-9AC3-4283-99BD-7DB3506BE35B}" type="TxLink">
            <a:rPr lang="en-US" sz="1400">
              <a:solidFill>
                <a:schemeClr val="bg1"/>
              </a:solidFill>
              <a:latin typeface="+mn-lt"/>
              <a:ea typeface="+mn-ea"/>
              <a:cs typeface="+mn-cs"/>
            </a:rPr>
            <a:pPr marL="0" indent="0" algn="ctr"/>
            <a:t>Effets</a:t>
          </a:fld>
          <a:endParaRPr lang="fr-CH" sz="14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10</xdr:col>
      <xdr:colOff>692333</xdr:colOff>
      <xdr:row>11</xdr:row>
      <xdr:rowOff>114622</xdr:rowOff>
    </xdr:from>
    <xdr:to>
      <xdr:col>15</xdr:col>
      <xdr:colOff>552451</xdr:colOff>
      <xdr:row>24</xdr:row>
      <xdr:rowOff>85043</xdr:rowOff>
    </xdr:to>
    <xdr:cxnSp macro="">
      <xdr:nvCxnSpPr>
        <xdr:cNvPr id="44" name="Gewinkelte Verbindung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CxnSpPr>
          <a:stCxn id="37" idx="2"/>
          <a:endCxn id="43" idx="3"/>
        </xdr:cNvCxnSpPr>
      </xdr:nvCxnSpPr>
      <xdr:spPr>
        <a:xfrm rot="5400000">
          <a:off x="7047506" y="3132049"/>
          <a:ext cx="2446921" cy="1669868"/>
        </a:xfrm>
        <a:prstGeom prst="bentConnector2">
          <a:avLst/>
        </a:prstGeom>
        <a:ln>
          <a:solidFill>
            <a:schemeClr val="tx2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26569</xdr:colOff>
      <xdr:row>11</xdr:row>
      <xdr:rowOff>54254</xdr:rowOff>
    </xdr:from>
    <xdr:to>
      <xdr:col>3</xdr:col>
      <xdr:colOff>507863</xdr:colOff>
      <xdr:row>24</xdr:row>
      <xdr:rowOff>85045</xdr:rowOff>
    </xdr:to>
    <xdr:cxnSp macro="">
      <xdr:nvCxnSpPr>
        <xdr:cNvPr id="45" name="Gewinkelte Verbindung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CxnSpPr>
          <a:stCxn id="42" idx="1"/>
          <a:endCxn id="25" idx="2"/>
        </xdr:cNvCxnSpPr>
      </xdr:nvCxnSpPr>
      <xdr:spPr>
        <a:xfrm rot="10800000">
          <a:off x="493294" y="2683154"/>
          <a:ext cx="1424269" cy="2507291"/>
        </a:xfrm>
        <a:prstGeom prst="bentConnector2">
          <a:avLst/>
        </a:prstGeom>
        <a:ln>
          <a:solidFill>
            <a:schemeClr val="tx2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300761</xdr:colOff>
      <xdr:row>24</xdr:row>
      <xdr:rowOff>85044</xdr:rowOff>
    </xdr:from>
    <xdr:to>
      <xdr:col>9</xdr:col>
      <xdr:colOff>137433</xdr:colOff>
      <xdr:row>24</xdr:row>
      <xdr:rowOff>85044</xdr:rowOff>
    </xdr:to>
    <xdr:cxnSp macro="">
      <xdr:nvCxnSpPr>
        <xdr:cNvPr id="46" name="Gerade Verbindung mit Pfeil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CxnSpPr>
          <a:stCxn id="43" idx="1"/>
          <a:endCxn id="42" idx="3"/>
        </xdr:cNvCxnSpPr>
      </xdr:nvCxnSpPr>
      <xdr:spPr>
        <a:xfrm flipH="1">
          <a:off x="3234461" y="5190444"/>
          <a:ext cx="2884672" cy="0"/>
        </a:xfrm>
        <a:prstGeom prst="straightConnector1">
          <a:avLst/>
        </a:prstGeom>
        <a:ln>
          <a:solidFill>
            <a:schemeClr val="tx2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485324</xdr:colOff>
      <xdr:row>16</xdr:row>
      <xdr:rowOff>172024</xdr:rowOff>
    </xdr:from>
    <xdr:to>
      <xdr:col>8</xdr:col>
      <xdr:colOff>661989</xdr:colOff>
      <xdr:row>25</xdr:row>
      <xdr:rowOff>62938</xdr:rowOff>
    </xdr:to>
    <xdr:grpSp>
      <xdr:nvGrpSpPr>
        <xdr:cNvPr id="47" name="Gruppieren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GrpSpPr/>
      </xdr:nvGrpSpPr>
      <xdr:grpSpPr>
        <a:xfrm>
          <a:off x="3502844" y="3715324"/>
          <a:ext cx="2531245" cy="1536834"/>
          <a:chOff x="3361874" y="3953449"/>
          <a:chExt cx="2462665" cy="1605414"/>
        </a:xfrm>
      </xdr:grpSpPr>
      <xdr:pic>
        <xdr:nvPicPr>
          <xdr:cNvPr id="48" name="Grafik 47" descr="http://www.enh.ch/wp-content/uploads/2013/08/Strom-Blitz_rot_Web_1.jpg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696" r="39576"/>
          <a:stretch/>
        </xdr:blipFill>
        <xdr:spPr bwMode="auto">
          <a:xfrm rot="10338309" flipH="1" flipV="1">
            <a:off x="4504638" y="5010725"/>
            <a:ext cx="290513" cy="54813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' '!A232">
        <xdr:nvSpPr>
          <xdr:cNvPr id="49" name="Textfeld 48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 txBox="1"/>
        </xdr:nvSpPr>
        <xdr:spPr>
          <a:xfrm>
            <a:off x="3976009" y="4569974"/>
            <a:ext cx="1224642" cy="354451"/>
          </a:xfrm>
          <a:prstGeom prst="rect">
            <a:avLst/>
          </a:prstGeom>
          <a:solidFill>
            <a:schemeClr val="accent4">
              <a:lumMod val="20000"/>
              <a:lumOff val="80000"/>
            </a:schemeClr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fld id="{1D84FDF6-1089-470F-8DBE-E84A582E5504}" type="TxLink">
              <a:rPr lang="en-US" sz="1400" b="0" i="0" u="none" strike="noStrike">
                <a:solidFill>
                  <a:srgbClr val="000000"/>
                </a:solidFill>
                <a:latin typeface="+mn-lt"/>
                <a:cs typeface="Arial"/>
              </a:rPr>
              <a:pPr algn="ctr"/>
              <a:t>signal brouilleur</a:t>
            </a:fld>
            <a:endParaRPr lang="fr-CH" sz="1400">
              <a:solidFill>
                <a:sysClr val="windowText" lastClr="000000"/>
              </a:solidFill>
              <a:latin typeface="+mn-lt"/>
            </a:endParaRPr>
          </a:p>
        </xdr:txBody>
      </xdr:sp>
      <xdr:pic>
        <xdr:nvPicPr>
          <xdr:cNvPr id="50" name="Grafik 49" descr="http://www.enh.ch/wp-content/uploads/2013/08/Strom-Blitz_rot_Web_1.jpg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696" r="39576"/>
          <a:stretch/>
        </xdr:blipFill>
        <xdr:spPr bwMode="auto">
          <a:xfrm rot="16200000">
            <a:off x="5405213" y="4457474"/>
            <a:ext cx="290513" cy="54813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1" name="Grafik 50" descr="http://www.enh.ch/wp-content/uploads/2013/08/Strom-Blitz_rot_Web_1.jpg"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696" r="39576"/>
          <a:stretch/>
        </xdr:blipFill>
        <xdr:spPr bwMode="auto">
          <a:xfrm rot="5400000" flipH="1">
            <a:off x="3490686" y="4476524"/>
            <a:ext cx="290513" cy="54813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2" name="Grafik 51" descr="http://www.enh.ch/wp-content/uploads/2013/08/Strom-Blitz_rot_Web_1.jpg">
            <a:extLst>
              <a:ext uri="{FF2B5EF4-FFF2-40B4-BE49-F238E27FC236}">
                <a16:creationId xmlns:a16="http://schemas.microsoft.com/office/drawing/2014/main" id="{00000000-0008-0000-0200-000034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696" r="39576"/>
          <a:stretch/>
        </xdr:blipFill>
        <xdr:spPr bwMode="auto">
          <a:xfrm rot="11261691" flipH="1">
            <a:off x="4476063" y="3953449"/>
            <a:ext cx="290513" cy="54813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514349</xdr:colOff>
      <xdr:row>27</xdr:row>
      <xdr:rowOff>0</xdr:rowOff>
    </xdr:from>
    <xdr:to>
      <xdr:col>15</xdr:col>
      <xdr:colOff>695206</xdr:colOff>
      <xdr:row>27</xdr:row>
      <xdr:rowOff>171450</xdr:rowOff>
    </xdr:to>
    <xdr:sp macro="" textlink="">
      <xdr:nvSpPr>
        <xdr:cNvPr id="53" name="Textfeld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/>
      </xdr:nvSpPr>
      <xdr:spPr>
        <a:xfrm>
          <a:off x="7258049" y="5676900"/>
          <a:ext cx="1990607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800" b="0">
              <a:solidFill>
                <a:schemeClr val="tx1">
                  <a:lumMod val="50000"/>
                  <a:lumOff val="50000"/>
                </a:schemeClr>
              </a:solidFill>
            </a:rPr>
            <a:t>In Anlehnung: Kotler/Keller/Bliemel (2007)</a:t>
          </a:r>
        </a:p>
      </xdr:txBody>
    </xdr:sp>
    <xdr:clientData/>
  </xdr:twoCellAnchor>
  <xdr:twoCellAnchor>
    <xdr:from>
      <xdr:col>2</xdr:col>
      <xdr:colOff>190500</xdr:colOff>
      <xdr:row>5</xdr:row>
      <xdr:rowOff>158443</xdr:rowOff>
    </xdr:from>
    <xdr:to>
      <xdr:col>3</xdr:col>
      <xdr:colOff>479384</xdr:colOff>
      <xdr:row>5</xdr:row>
      <xdr:rowOff>158443</xdr:rowOff>
    </xdr:to>
    <xdr:cxnSp macro="">
      <xdr:nvCxnSpPr>
        <xdr:cNvPr id="54" name="Gerade Verbindung mit Pfeil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CxnSpPr>
          <a:stCxn id="32" idx="3"/>
          <a:endCxn id="30" idx="1"/>
        </xdr:cNvCxnSpPr>
      </xdr:nvCxnSpPr>
      <xdr:spPr>
        <a:xfrm>
          <a:off x="838200" y="1587193"/>
          <a:ext cx="1050884" cy="0"/>
        </a:xfrm>
        <a:prstGeom prst="straightConnector1">
          <a:avLst/>
        </a:prstGeom>
        <a:ln>
          <a:solidFill>
            <a:schemeClr val="tx2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682710</xdr:colOff>
      <xdr:row>5</xdr:row>
      <xdr:rowOff>158443</xdr:rowOff>
    </xdr:from>
    <xdr:to>
      <xdr:col>14</xdr:col>
      <xdr:colOff>43418</xdr:colOff>
      <xdr:row>5</xdr:row>
      <xdr:rowOff>158443</xdr:rowOff>
    </xdr:to>
    <xdr:cxnSp macro="">
      <xdr:nvCxnSpPr>
        <xdr:cNvPr id="55" name="Gerade Verbindung mit Pfeil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CxnSpPr>
          <a:stCxn id="34" idx="3"/>
          <a:endCxn id="33" idx="1"/>
        </xdr:cNvCxnSpPr>
      </xdr:nvCxnSpPr>
      <xdr:spPr>
        <a:xfrm>
          <a:off x="7426410" y="1587193"/>
          <a:ext cx="1027583" cy="0"/>
        </a:xfrm>
        <a:prstGeom prst="straightConnector1">
          <a:avLst/>
        </a:prstGeom>
        <a:ln>
          <a:solidFill>
            <a:schemeClr val="tx2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4</xdr:row>
      <xdr:rowOff>123825</xdr:rowOff>
    </xdr:from>
    <xdr:to>
      <xdr:col>3</xdr:col>
      <xdr:colOff>367339</xdr:colOff>
      <xdr:row>6</xdr:row>
      <xdr:rowOff>180975</xdr:rowOff>
    </xdr:to>
    <xdr:sp macro="" textlink="' '!A233">
      <xdr:nvSpPr>
        <xdr:cNvPr id="56" name="Textfeld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/>
      </xdr:nvSpPr>
      <xdr:spPr>
        <a:xfrm>
          <a:off x="847725" y="1352550"/>
          <a:ext cx="929314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8747CC61-C9F0-492A-98CE-E6FD4BA91B1C}" type="TxLink">
            <a:rPr lang="en-US" sz="110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verbale
nonverbale</a:t>
          </a:fld>
          <a:endParaRPr lang="en-US" sz="110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723900</xdr:colOff>
      <xdr:row>4</xdr:row>
      <xdr:rowOff>123825</xdr:rowOff>
    </xdr:from>
    <xdr:to>
      <xdr:col>13</xdr:col>
      <xdr:colOff>186364</xdr:colOff>
      <xdr:row>6</xdr:row>
      <xdr:rowOff>180975</xdr:rowOff>
    </xdr:to>
    <xdr:sp macro="" textlink="' '!A233">
      <xdr:nvSpPr>
        <xdr:cNvPr id="57" name="Textfeld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 txBox="1"/>
      </xdr:nvSpPr>
      <xdr:spPr>
        <a:xfrm>
          <a:off x="7467600" y="1352550"/>
          <a:ext cx="929314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007651FF-CC44-4377-B88D-22A593A5C71A}" type="TxLink">
            <a:rPr lang="en-US" sz="110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verbale
nonverbale</a:t>
          </a:fld>
          <a:endParaRPr lang="en-US" sz="110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85725</xdr:colOff>
      <xdr:row>23</xdr:row>
      <xdr:rowOff>38100</xdr:rowOff>
    </xdr:from>
    <xdr:to>
      <xdr:col>3</xdr:col>
      <xdr:colOff>253039</xdr:colOff>
      <xdr:row>25</xdr:row>
      <xdr:rowOff>114300</xdr:rowOff>
    </xdr:to>
    <xdr:sp macro="" textlink="' '!A233">
      <xdr:nvSpPr>
        <xdr:cNvPr id="58" name="Textfeld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/>
      </xdr:nvSpPr>
      <xdr:spPr>
        <a:xfrm>
          <a:off x="733425" y="4953000"/>
          <a:ext cx="929314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D5324DCD-A2CB-4933-BBFE-57E2C4078BF5}" type="TxLink">
            <a:rPr lang="en-US" sz="110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verbale
nonverbale</a:t>
          </a:fld>
          <a:endParaRPr lang="en-US" sz="110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76200</xdr:colOff>
      <xdr:row>0</xdr:row>
      <xdr:rowOff>123825</xdr:rowOff>
    </xdr:from>
    <xdr:to>
      <xdr:col>0</xdr:col>
      <xdr:colOff>400200</xdr:colOff>
      <xdr:row>0</xdr:row>
      <xdr:rowOff>449290</xdr:rowOff>
    </xdr:to>
    <xdr:grpSp>
      <xdr:nvGrpSpPr>
        <xdr:cNvPr id="59" name="Gruppieren 1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GrpSpPr/>
      </xdr:nvGrpSpPr>
      <xdr:grpSpPr>
        <a:xfrm>
          <a:off x="76200" y="123825"/>
          <a:ext cx="324000" cy="325465"/>
          <a:chOff x="12729063" y="1298331"/>
          <a:chExt cx="324000" cy="323267"/>
        </a:xfrm>
      </xdr:grpSpPr>
      <xdr:sp macro="" textlink="">
        <xdr:nvSpPr>
          <xdr:cNvPr id="60" name="Rechteck 17">
            <a:extLst>
              <a:ext uri="{FF2B5EF4-FFF2-40B4-BE49-F238E27FC236}">
                <a16:creationId xmlns:a16="http://schemas.microsoft.com/office/drawing/2014/main" id="{00000000-0008-0000-0200-00003C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1" name="Grafik 1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3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342897</xdr:colOff>
          <xdr:row>0</xdr:row>
          <xdr:rowOff>14289</xdr:rowOff>
        </xdr:from>
        <xdr:to>
          <xdr:col>16</xdr:col>
          <xdr:colOff>4760</xdr:colOff>
          <xdr:row>0</xdr:row>
          <xdr:rowOff>547689</xdr:rowOff>
        </xdr:to>
        <xdr:pic>
          <xdr:nvPicPr>
            <xdr:cNvPr id="62" name="Grafik 45"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5587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586660" y="14289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9525</xdr:rowOff>
    </xdr:from>
    <xdr:to>
      <xdr:col>0</xdr:col>
      <xdr:colOff>390675</xdr:colOff>
      <xdr:row>3</xdr:row>
      <xdr:rowOff>334990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66675" y="870585"/>
          <a:ext cx="324000" cy="325465"/>
          <a:chOff x="12382500" y="2152650"/>
          <a:chExt cx="324000" cy="325465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" name="Grafik 16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14" name="Gruppieren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9" name="Grafik 1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9</xdr:col>
      <xdr:colOff>295275</xdr:colOff>
      <xdr:row>1</xdr:row>
      <xdr:rowOff>57150</xdr:rowOff>
    </xdr:from>
    <xdr:to>
      <xdr:col>10</xdr:col>
      <xdr:colOff>1350</xdr:colOff>
      <xdr:row>2</xdr:row>
      <xdr:rowOff>48975</xdr:rowOff>
    </xdr:to>
    <xdr:grpSp>
      <xdr:nvGrpSpPr>
        <xdr:cNvPr id="21" name="Gruppieren 2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pSpPr/>
      </xdr:nvGrpSpPr>
      <xdr:grpSpPr>
        <a:xfrm>
          <a:off x="10986135" y="613410"/>
          <a:ext cx="186135" cy="167085"/>
          <a:chOff x="8105775" y="571500"/>
          <a:chExt cx="172800" cy="172800"/>
        </a:xfrm>
      </xdr:grpSpPr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" name="Textfeld 22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2</xdr:col>
      <xdr:colOff>378283</xdr:colOff>
      <xdr:row>26</xdr:row>
      <xdr:rowOff>37657</xdr:rowOff>
    </xdr:from>
    <xdr:to>
      <xdr:col>4</xdr:col>
      <xdr:colOff>682857</xdr:colOff>
      <xdr:row>36</xdr:row>
      <xdr:rowOff>132157</xdr:rowOff>
    </xdr:to>
    <xdr:sp macro="" textlink="">
      <xdr:nvSpPr>
        <xdr:cNvPr id="76" name="Rechteck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Aspect="1"/>
        </xdr:cNvSpPr>
      </xdr:nvSpPr>
      <xdr:spPr>
        <a:xfrm>
          <a:off x="1149808" y="770528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378283</xdr:colOff>
      <xdr:row>36</xdr:row>
      <xdr:rowOff>179307</xdr:rowOff>
    </xdr:from>
    <xdr:to>
      <xdr:col>4</xdr:col>
      <xdr:colOff>682857</xdr:colOff>
      <xdr:row>46</xdr:row>
      <xdr:rowOff>273807</xdr:rowOff>
    </xdr:to>
    <xdr:sp macro="" textlink="">
      <xdr:nvSpPr>
        <xdr:cNvPr id="77" name="Rechteck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Aspect="1"/>
        </xdr:cNvSpPr>
      </xdr:nvSpPr>
      <xdr:spPr>
        <a:xfrm>
          <a:off x="1149808" y="1070443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715488</xdr:colOff>
      <xdr:row>26</xdr:row>
      <xdr:rowOff>37657</xdr:rowOff>
    </xdr:from>
    <xdr:to>
      <xdr:col>7</xdr:col>
      <xdr:colOff>23298</xdr:colOff>
      <xdr:row>36</xdr:row>
      <xdr:rowOff>132157</xdr:rowOff>
    </xdr:to>
    <xdr:sp macro="" textlink="">
      <xdr:nvSpPr>
        <xdr:cNvPr id="78" name="Rechteck 7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Aspect="1"/>
        </xdr:cNvSpPr>
      </xdr:nvSpPr>
      <xdr:spPr>
        <a:xfrm>
          <a:off x="4134963" y="7705282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715488</xdr:colOff>
      <xdr:row>36</xdr:row>
      <xdr:rowOff>179307</xdr:rowOff>
    </xdr:from>
    <xdr:to>
      <xdr:col>7</xdr:col>
      <xdr:colOff>23298</xdr:colOff>
      <xdr:row>46</xdr:row>
      <xdr:rowOff>273807</xdr:rowOff>
    </xdr:to>
    <xdr:sp macro="" textlink="">
      <xdr:nvSpPr>
        <xdr:cNvPr id="79" name="Rechteck 7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Aspect="1"/>
        </xdr:cNvSpPr>
      </xdr:nvSpPr>
      <xdr:spPr>
        <a:xfrm>
          <a:off x="4134963" y="10704432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1</xdr:col>
      <xdr:colOff>38945</xdr:colOff>
      <xdr:row>26</xdr:row>
      <xdr:rowOff>38099</xdr:rowOff>
    </xdr:from>
    <xdr:to>
      <xdr:col>2</xdr:col>
      <xdr:colOff>57881</xdr:colOff>
      <xdr:row>47</xdr:row>
      <xdr:rowOff>28574</xdr:rowOff>
    </xdr:to>
    <xdr:sp macro="" textlink="' '!A56">
      <xdr:nvSpPr>
        <xdr:cNvPr id="80" name="Textfeld 79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 txBox="1"/>
      </xdr:nvSpPr>
      <xdr:spPr>
        <a:xfrm rot="16200000">
          <a:off x="-2285212" y="10534707"/>
          <a:ext cx="59912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D5AE71E6-39DC-4E4E-A68D-5F510F7F9D10}" type="TxLink">
            <a:rPr lang="de-CH" sz="1600" b="1"/>
            <a:pPr algn="ctr"/>
            <a:t>Influence des parties prenantes</a:t>
          </a:fld>
          <a:endParaRPr lang="de-CH" sz="1600" b="1"/>
        </a:p>
      </xdr:txBody>
    </xdr:sp>
    <xdr:clientData/>
  </xdr:twoCellAnchor>
  <xdr:twoCellAnchor editAs="oneCell">
    <xdr:from>
      <xdr:col>2</xdr:col>
      <xdr:colOff>323850</xdr:colOff>
      <xdr:row>48</xdr:row>
      <xdr:rowOff>25321</xdr:rowOff>
    </xdr:from>
    <xdr:to>
      <xdr:col>7</xdr:col>
      <xdr:colOff>28575</xdr:colOff>
      <xdr:row>50</xdr:row>
      <xdr:rowOff>78547</xdr:rowOff>
    </xdr:to>
    <xdr:sp macro="" textlink="' '!A59">
      <xdr:nvSpPr>
        <xdr:cNvPr id="81" name="Textfeld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 txBox="1"/>
      </xdr:nvSpPr>
      <xdr:spPr>
        <a:xfrm>
          <a:off x="1116330" y="13779421"/>
          <a:ext cx="617410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5D6FDB17-DD67-4DA1-9304-602EA2847F0E}" type="TxLink">
            <a:rPr lang="de-CH" sz="1600" b="1"/>
            <a:pPr algn="ctr"/>
            <a:t>Intérêt des parties prenantes</a:t>
          </a:fld>
          <a:endParaRPr lang="de-CH" sz="1600" b="1"/>
        </a:p>
      </xdr:txBody>
    </xdr:sp>
    <xdr:clientData/>
  </xdr:twoCellAnchor>
  <xdr:twoCellAnchor editAs="oneCell">
    <xdr:from>
      <xdr:col>1</xdr:col>
      <xdr:colOff>140067</xdr:colOff>
      <xdr:row>26</xdr:row>
      <xdr:rowOff>56349</xdr:rowOff>
    </xdr:from>
    <xdr:to>
      <xdr:col>2</xdr:col>
      <xdr:colOff>127713</xdr:colOff>
      <xdr:row>29</xdr:row>
      <xdr:rowOff>238124</xdr:rowOff>
    </xdr:to>
    <xdr:sp macro="" textlink="' '!A54">
      <xdr:nvSpPr>
        <xdr:cNvPr id="82" name="Textfeld 8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 txBox="1"/>
      </xdr:nvSpPr>
      <xdr:spPr>
        <a:xfrm rot="16200000">
          <a:off x="276365" y="8092502"/>
          <a:ext cx="10390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EE2E00D7-F09F-4138-B44F-A32F368E850E}" type="TxLink">
            <a:rPr lang="de-CH" sz="1400" b="0"/>
            <a:pPr algn="ctr"/>
            <a:t>grande</a:t>
          </a:fld>
          <a:endParaRPr lang="de-CH" sz="1400" b="0"/>
        </a:p>
      </xdr:txBody>
    </xdr:sp>
    <xdr:clientData/>
  </xdr:twoCellAnchor>
  <xdr:twoCellAnchor editAs="oneCell">
    <xdr:from>
      <xdr:col>1</xdr:col>
      <xdr:colOff>140067</xdr:colOff>
      <xdr:row>43</xdr:row>
      <xdr:rowOff>76200</xdr:rowOff>
    </xdr:from>
    <xdr:to>
      <xdr:col>2</xdr:col>
      <xdr:colOff>127713</xdr:colOff>
      <xdr:row>47</xdr:row>
      <xdr:rowOff>95034</xdr:rowOff>
    </xdr:to>
    <xdr:sp macro="" textlink="' '!A57">
      <xdr:nvSpPr>
        <xdr:cNvPr id="83" name="Textfeld 8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 txBox="1"/>
      </xdr:nvSpPr>
      <xdr:spPr>
        <a:xfrm rot="16200000">
          <a:off x="214961" y="13031507"/>
          <a:ext cx="116183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D7A12D7F-AA89-4F8B-B20B-E1E062DB0C70}" type="TxLink">
            <a:rPr lang="de-CH" sz="1400" b="0"/>
            <a:pPr algn="ctr"/>
            <a:t>petite</a:t>
          </a:fld>
          <a:endParaRPr lang="de-CH" sz="1400" b="0"/>
        </a:p>
      </xdr:txBody>
    </xdr:sp>
    <xdr:clientData/>
  </xdr:twoCellAnchor>
  <xdr:twoCellAnchor editAs="oneCell">
    <xdr:from>
      <xdr:col>5</xdr:col>
      <xdr:colOff>1790700</xdr:colOff>
      <xdr:row>47</xdr:row>
      <xdr:rowOff>223127</xdr:rowOff>
    </xdr:from>
    <xdr:to>
      <xdr:col>7</xdr:col>
      <xdr:colOff>47625</xdr:colOff>
      <xdr:row>48</xdr:row>
      <xdr:rowOff>252683</xdr:rowOff>
    </xdr:to>
    <xdr:sp macro="" textlink="' '!A54">
      <xdr:nvSpPr>
        <xdr:cNvPr id="84" name="Textfeld 83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 txBox="1"/>
      </xdr:nvSpPr>
      <xdr:spPr>
        <a:xfrm>
          <a:off x="6118860" y="13695287"/>
          <a:ext cx="11906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7AD08596-C546-4FCB-9E78-9A04B77D924B}" type="TxLink">
            <a:rPr lang="de-CH" sz="1400" b="0"/>
            <a:pPr algn="ctr"/>
            <a:t>grande</a:t>
          </a:fld>
          <a:endParaRPr lang="de-CH" sz="1400" b="0"/>
        </a:p>
      </xdr:txBody>
    </xdr:sp>
    <xdr:clientData/>
  </xdr:twoCellAnchor>
  <xdr:twoCellAnchor editAs="oneCell">
    <xdr:from>
      <xdr:col>2</xdr:col>
      <xdr:colOff>334984</xdr:colOff>
      <xdr:row>47</xdr:row>
      <xdr:rowOff>223127</xdr:rowOff>
    </xdr:from>
    <xdr:to>
      <xdr:col>2</xdr:col>
      <xdr:colOff>1428749</xdr:colOff>
      <xdr:row>48</xdr:row>
      <xdr:rowOff>252683</xdr:rowOff>
    </xdr:to>
    <xdr:sp macro="" textlink="' '!A57">
      <xdr:nvSpPr>
        <xdr:cNvPr id="85" name="Textfeld 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/>
      </xdr:nvSpPr>
      <xdr:spPr>
        <a:xfrm>
          <a:off x="1127464" y="13695287"/>
          <a:ext cx="10937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53C505BE-45D5-42AC-B50C-1465224EA260}" type="TxLink">
            <a:rPr lang="de-CH" sz="1400" b="0"/>
            <a:pPr algn="ctr"/>
            <a:t>petite</a:t>
          </a:fld>
          <a:endParaRPr lang="de-CH" sz="1400" b="0"/>
        </a:p>
      </xdr:txBody>
    </xdr:sp>
    <xdr:clientData/>
  </xdr:twoCellAnchor>
  <xdr:twoCellAnchor editAs="oneCell">
    <xdr:from>
      <xdr:col>2</xdr:col>
      <xdr:colOff>228600</xdr:colOff>
      <xdr:row>52</xdr:row>
      <xdr:rowOff>247649</xdr:rowOff>
    </xdr:from>
    <xdr:to>
      <xdr:col>7</xdr:col>
      <xdr:colOff>95250</xdr:colOff>
      <xdr:row>74</xdr:row>
      <xdr:rowOff>220124</xdr:rowOff>
    </xdr:to>
    <xdr:sp macro="" textlink="">
      <xdr:nvSpPr>
        <xdr:cNvPr id="86" name="Ellipse 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>
        <a:xfrm>
          <a:off x="1000125" y="15068549"/>
          <a:ext cx="6162675" cy="6258975"/>
        </a:xfrm>
        <a:prstGeom prst="ellipse">
          <a:avLst/>
        </a:prstGeom>
        <a:ln w="3175">
          <a:noFill/>
          <a:prstDash val="sysDot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1149937</xdr:colOff>
      <xdr:row>56</xdr:row>
      <xdr:rowOff>74136</xdr:rowOff>
    </xdr:from>
    <xdr:to>
      <xdr:col>5</xdr:col>
      <xdr:colOff>2031412</xdr:colOff>
      <xdr:row>71</xdr:row>
      <xdr:rowOff>107886</xdr:rowOff>
    </xdr:to>
    <xdr:sp macro="" textlink="">
      <xdr:nvSpPr>
        <xdr:cNvPr id="87" name="Ellipse 8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>
        <a:xfrm>
          <a:off x="1921462" y="21438711"/>
          <a:ext cx="4320000" cy="4320000"/>
        </a:xfrm>
        <a:prstGeom prst="ellipse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3</xdr:col>
      <xdr:colOff>116362</xdr:colOff>
      <xdr:row>59</xdr:row>
      <xdr:rowOff>116886</xdr:rowOff>
    </xdr:from>
    <xdr:to>
      <xdr:col>5</xdr:col>
      <xdr:colOff>1131412</xdr:colOff>
      <xdr:row>68</xdr:row>
      <xdr:rowOff>65136</xdr:rowOff>
    </xdr:to>
    <xdr:sp macro="" textlink="">
      <xdr:nvSpPr>
        <xdr:cNvPr id="88" name="Ellipse 8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>
        <a:xfrm>
          <a:off x="2821462" y="22338711"/>
          <a:ext cx="2520000" cy="2520000"/>
        </a:xfrm>
        <a:prstGeom prst="ellipse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oneCellAnchor>
    <xdr:from>
      <xdr:col>3</xdr:col>
      <xdr:colOff>602349</xdr:colOff>
      <xdr:row>57</xdr:row>
      <xdr:rowOff>7542</xdr:rowOff>
    </xdr:from>
    <xdr:ext cx="1548027" cy="311496"/>
    <xdr:sp macro="" textlink="' '!A48">
      <xdr:nvSpPr>
        <xdr:cNvPr id="89" name="Textfeld 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/>
      </xdr:nvSpPr>
      <xdr:spPr>
        <a:xfrm>
          <a:off x="3383649" y="16024782"/>
          <a:ext cx="154802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9638B0C3-7F75-4830-84A4-70BA3A34A8A1}" type="TxLink">
            <a:rPr lang="de-CH" sz="1400" b="1">
              <a:solidFill>
                <a:schemeClr val="tx1">
                  <a:lumMod val="65000"/>
                  <a:lumOff val="35000"/>
                </a:schemeClr>
              </a:solidFill>
            </a:rPr>
            <a:pPr algn="ctr"/>
            <a:t>Contexte restreint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oneCellAnchor>
  <xdr:twoCellAnchor editAs="oneCell">
    <xdr:from>
      <xdr:col>2</xdr:col>
      <xdr:colOff>1769149</xdr:colOff>
      <xdr:row>58</xdr:row>
      <xdr:rowOff>168896</xdr:rowOff>
    </xdr:from>
    <xdr:to>
      <xdr:col>4</xdr:col>
      <xdr:colOff>661987</xdr:colOff>
      <xdr:row>62</xdr:row>
      <xdr:rowOff>213636</xdr:rowOff>
    </xdr:to>
    <xdr:cxnSp macro="">
      <xdr:nvCxnSpPr>
        <xdr:cNvPr id="91" name="Gekrümmte Verbindung 90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CxnSpPr>
          <a:stCxn id="90" idx="0"/>
          <a:endCxn id="103" idx="2"/>
        </xdr:cNvCxnSpPr>
      </xdr:nvCxnSpPr>
      <xdr:spPr>
        <a:xfrm rot="16200000" flipV="1">
          <a:off x="2717198" y="16527772"/>
          <a:ext cx="1187740" cy="1540788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735658</xdr:colOff>
      <xdr:row>64</xdr:row>
      <xdr:rowOff>164511</xdr:rowOff>
    </xdr:from>
    <xdr:to>
      <xdr:col>5</xdr:col>
      <xdr:colOff>87787</xdr:colOff>
      <xdr:row>70</xdr:row>
      <xdr:rowOff>172819</xdr:rowOff>
    </xdr:to>
    <xdr:cxnSp macro="">
      <xdr:nvCxnSpPr>
        <xdr:cNvPr id="92" name="Gekrümmte Verbindung 9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CxnSpPr>
          <a:stCxn id="90" idx="5"/>
          <a:endCxn id="106" idx="0"/>
        </xdr:cNvCxnSpPr>
      </xdr:nvCxnSpPr>
      <xdr:spPr>
        <a:xfrm rot="5400000">
          <a:off x="3365081" y="19204463"/>
          <a:ext cx="1722808" cy="142704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1139153</xdr:colOff>
      <xdr:row>63</xdr:row>
      <xdr:rowOff>233885</xdr:rowOff>
    </xdr:from>
    <xdr:to>
      <xdr:col>4</xdr:col>
      <xdr:colOff>355988</xdr:colOff>
      <xdr:row>64</xdr:row>
      <xdr:rowOff>268396</xdr:rowOff>
    </xdr:to>
    <xdr:cxnSp macro="">
      <xdr:nvCxnSpPr>
        <xdr:cNvPr id="93" name="Gekrümmte Verbindung 9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CxnSpPr>
          <a:stCxn id="90" idx="2"/>
          <a:endCxn id="108" idx="3"/>
        </xdr:cNvCxnSpPr>
      </xdr:nvCxnSpPr>
      <xdr:spPr>
        <a:xfrm rot="10800000" flipV="1">
          <a:off x="1910678" y="18198035"/>
          <a:ext cx="1864785" cy="32026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1494787</xdr:colOff>
      <xdr:row>62</xdr:row>
      <xdr:rowOff>1697</xdr:rowOff>
    </xdr:from>
    <xdr:to>
      <xdr:col>4</xdr:col>
      <xdr:colOff>661987</xdr:colOff>
      <xdr:row>62</xdr:row>
      <xdr:rowOff>213636</xdr:rowOff>
    </xdr:to>
    <xdr:cxnSp macro="">
      <xdr:nvCxnSpPr>
        <xdr:cNvPr id="94" name="Gekrümmte Verbindung 93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CxnSpPr>
          <a:stCxn id="109" idx="3"/>
          <a:endCxn id="90" idx="0"/>
        </xdr:cNvCxnSpPr>
      </xdr:nvCxnSpPr>
      <xdr:spPr>
        <a:xfrm>
          <a:off x="2266312" y="17680097"/>
          <a:ext cx="1815150" cy="211939"/>
        </a:xfrm>
        <a:prstGeom prst="curvedConnector2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177412</xdr:colOff>
      <xdr:row>63</xdr:row>
      <xdr:rowOff>233886</xdr:rowOff>
    </xdr:from>
    <xdr:to>
      <xdr:col>5</xdr:col>
      <xdr:colOff>2027296</xdr:colOff>
      <xdr:row>63</xdr:row>
      <xdr:rowOff>263635</xdr:rowOff>
    </xdr:to>
    <xdr:cxnSp macro="">
      <xdr:nvCxnSpPr>
        <xdr:cNvPr id="95" name="Gekrümmte Verbindung 9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CxnSpPr>
          <a:stCxn id="90" idx="6"/>
          <a:endCxn id="111" idx="1"/>
        </xdr:cNvCxnSpPr>
      </xdr:nvCxnSpPr>
      <xdr:spPr>
        <a:xfrm>
          <a:off x="4387462" y="18198036"/>
          <a:ext cx="1849884" cy="29749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534682</xdr:colOff>
      <xdr:row>64</xdr:row>
      <xdr:rowOff>254136</xdr:rowOff>
    </xdr:from>
    <xdr:to>
      <xdr:col>4</xdr:col>
      <xdr:colOff>661988</xdr:colOff>
      <xdr:row>72</xdr:row>
      <xdr:rowOff>239747</xdr:rowOff>
    </xdr:to>
    <xdr:cxnSp macro="">
      <xdr:nvCxnSpPr>
        <xdr:cNvPr id="96" name="Gekrümmte Verbindung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CxnSpPr>
          <a:stCxn id="90" idx="4"/>
          <a:endCxn id="117" idx="0"/>
        </xdr:cNvCxnSpPr>
      </xdr:nvCxnSpPr>
      <xdr:spPr>
        <a:xfrm rot="5400000">
          <a:off x="2524817" y="19219001"/>
          <a:ext cx="2271611" cy="841681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87787</xdr:colOff>
      <xdr:row>64</xdr:row>
      <xdr:rowOff>164510</xdr:rowOff>
    </xdr:from>
    <xdr:to>
      <xdr:col>5</xdr:col>
      <xdr:colOff>1245504</xdr:colOff>
      <xdr:row>69</xdr:row>
      <xdr:rowOff>58771</xdr:rowOff>
    </xdr:to>
    <xdr:cxnSp macro="">
      <xdr:nvCxnSpPr>
        <xdr:cNvPr id="97" name="Gekrümmte Verbindung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CxnSpPr>
          <a:stCxn id="90" idx="5"/>
          <a:endCxn id="116" idx="0"/>
        </xdr:cNvCxnSpPr>
      </xdr:nvCxnSpPr>
      <xdr:spPr>
        <a:xfrm rot="16200000" flipH="1">
          <a:off x="4215190" y="18497057"/>
          <a:ext cx="1323011" cy="1157717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206327</xdr:colOff>
      <xdr:row>62</xdr:row>
      <xdr:rowOff>257026</xdr:rowOff>
    </xdr:from>
    <xdr:to>
      <xdr:col>4</xdr:col>
      <xdr:colOff>355987</xdr:colOff>
      <xdr:row>63</xdr:row>
      <xdr:rowOff>233886</xdr:rowOff>
    </xdr:to>
    <xdr:cxnSp macro="">
      <xdr:nvCxnSpPr>
        <xdr:cNvPr id="98" name="Gekrümmte Verbindung 9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CxnSpPr>
          <a:stCxn id="112" idx="3"/>
          <a:endCxn id="90" idx="2"/>
        </xdr:cNvCxnSpPr>
      </xdr:nvCxnSpPr>
      <xdr:spPr>
        <a:xfrm>
          <a:off x="3625802" y="17935426"/>
          <a:ext cx="149660" cy="262610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661986</xdr:colOff>
      <xdr:row>64</xdr:row>
      <xdr:rowOff>254136</xdr:rowOff>
    </xdr:from>
    <xdr:to>
      <xdr:col>6</xdr:col>
      <xdr:colOff>356690</xdr:colOff>
      <xdr:row>67</xdr:row>
      <xdr:rowOff>104978</xdr:rowOff>
    </xdr:to>
    <xdr:cxnSp macro="">
      <xdr:nvCxnSpPr>
        <xdr:cNvPr id="99" name="Gekrümmte Verbindung 9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CxnSpPr>
          <a:stCxn id="90" idx="4"/>
          <a:endCxn id="110" idx="0"/>
        </xdr:cNvCxnSpPr>
      </xdr:nvCxnSpPr>
      <xdr:spPr>
        <a:xfrm rot="16200000" flipH="1">
          <a:off x="5027330" y="17558167"/>
          <a:ext cx="708092" cy="2599829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680569</xdr:colOff>
      <xdr:row>63</xdr:row>
      <xdr:rowOff>233886</xdr:rowOff>
    </xdr:from>
    <xdr:to>
      <xdr:col>4</xdr:col>
      <xdr:colOff>355988</xdr:colOff>
      <xdr:row>65</xdr:row>
      <xdr:rowOff>61515</xdr:rowOff>
    </xdr:to>
    <xdr:cxnSp macro="">
      <xdr:nvCxnSpPr>
        <xdr:cNvPr id="100" name="Gekrümmte Verbindung 99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CxnSpPr>
          <a:stCxn id="104" idx="0"/>
          <a:endCxn id="90" idx="2"/>
        </xdr:cNvCxnSpPr>
      </xdr:nvCxnSpPr>
      <xdr:spPr>
        <a:xfrm rot="5400000" flipH="1" flipV="1">
          <a:off x="3381001" y="18202704"/>
          <a:ext cx="399129" cy="389794"/>
        </a:xfrm>
        <a:prstGeom prst="curvedConnector2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39477</xdr:colOff>
      <xdr:row>64</xdr:row>
      <xdr:rowOff>254137</xdr:rowOff>
    </xdr:from>
    <xdr:to>
      <xdr:col>4</xdr:col>
      <xdr:colOff>661987</xdr:colOff>
      <xdr:row>70</xdr:row>
      <xdr:rowOff>165469</xdr:rowOff>
    </xdr:to>
    <xdr:cxnSp macro="">
      <xdr:nvCxnSpPr>
        <xdr:cNvPr id="101" name="Gekrümmte Verbindung 100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CxnSpPr>
          <a:stCxn id="90" idx="4"/>
          <a:endCxn id="115" idx="3"/>
        </xdr:cNvCxnSpPr>
      </xdr:nvCxnSpPr>
      <xdr:spPr>
        <a:xfrm rot="5400000">
          <a:off x="2600104" y="18648510"/>
          <a:ext cx="1625832" cy="1336885"/>
        </a:xfrm>
        <a:prstGeom prst="curvedConnector2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567734</xdr:colOff>
      <xdr:row>67</xdr:row>
      <xdr:rowOff>85419</xdr:rowOff>
    </xdr:from>
    <xdr:to>
      <xdr:col>2</xdr:col>
      <xdr:colOff>1611734</xdr:colOff>
      <xdr:row>68</xdr:row>
      <xdr:rowOff>123669</xdr:rowOff>
    </xdr:to>
    <xdr:sp macro="" textlink="Stakeholder!C10">
      <xdr:nvSpPr>
        <xdr:cNvPr id="102" name="Textfeld 101" title="Key Partnership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 txBox="1"/>
      </xdr:nvSpPr>
      <xdr:spPr>
        <a:xfrm>
          <a:off x="1339259" y="2459324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833C5CBB-692C-4F7F-B386-94B1DB6D1375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2</xdr:col>
      <xdr:colOff>1247149</xdr:colOff>
      <xdr:row>57</xdr:row>
      <xdr:rowOff>130646</xdr:rowOff>
    </xdr:from>
    <xdr:to>
      <xdr:col>3</xdr:col>
      <xdr:colOff>357574</xdr:colOff>
      <xdr:row>58</xdr:row>
      <xdr:rowOff>168896</xdr:rowOff>
    </xdr:to>
    <xdr:sp macro="" textlink="Stakeholder!C12">
      <xdr:nvSpPr>
        <xdr:cNvPr id="103" name="Textfeld 102" title="Key Partnership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/>
      </xdr:nvSpPr>
      <xdr:spPr>
        <a:xfrm>
          <a:off x="2018674" y="2178097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5BD28CF4-5D5E-4F07-95A5-6E1B379B6BA7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3</xdr:col>
      <xdr:colOff>158568</xdr:colOff>
      <xdr:row>65</xdr:row>
      <xdr:rowOff>61515</xdr:rowOff>
    </xdr:from>
    <xdr:to>
      <xdr:col>4</xdr:col>
      <xdr:colOff>488193</xdr:colOff>
      <xdr:row>66</xdr:row>
      <xdr:rowOff>99765</xdr:rowOff>
    </xdr:to>
    <xdr:sp macro="" textlink="Stakeholder!C8">
      <xdr:nvSpPr>
        <xdr:cNvPr id="104" name="Textfeld 103" title="Key Partnership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 txBox="1"/>
      </xdr:nvSpPr>
      <xdr:spPr>
        <a:xfrm>
          <a:off x="2863668" y="23997840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6683D3F3-A34B-4644-A6BB-4565BAFD59E2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5</xdr:col>
      <xdr:colOff>427121</xdr:colOff>
      <xdr:row>64</xdr:row>
      <xdr:rowOff>137726</xdr:rowOff>
    </xdr:from>
    <xdr:to>
      <xdr:col>5</xdr:col>
      <xdr:colOff>1471121</xdr:colOff>
      <xdr:row>65</xdr:row>
      <xdr:rowOff>175976</xdr:rowOff>
    </xdr:to>
    <xdr:sp macro="" textlink="Stakeholder!C6">
      <xdr:nvSpPr>
        <xdr:cNvPr id="105" name="Textfeld 104" title="Key Partnership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 txBox="1"/>
      </xdr:nvSpPr>
      <xdr:spPr>
        <a:xfrm>
          <a:off x="4637171" y="2378830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F2BFDDC6-A3BF-4C7A-91C6-289BDD7515F9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Gruppe 2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4</xdr:col>
      <xdr:colOff>213658</xdr:colOff>
      <xdr:row>70</xdr:row>
      <xdr:rowOff>172819</xdr:rowOff>
    </xdr:from>
    <xdr:to>
      <xdr:col>5</xdr:col>
      <xdr:colOff>467083</xdr:colOff>
      <xdr:row>71</xdr:row>
      <xdr:rowOff>211069</xdr:rowOff>
    </xdr:to>
    <xdr:sp macro="" textlink="Stakeholder!C11">
      <xdr:nvSpPr>
        <xdr:cNvPr id="106" name="Textfeld 105" title="Key Partnership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 txBox="1"/>
      </xdr:nvSpPr>
      <xdr:spPr>
        <a:xfrm>
          <a:off x="3633133" y="2553789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33BAA30D-A76E-4640-8093-B08DE47DDF8E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960653</xdr:colOff>
      <xdr:row>57</xdr:row>
      <xdr:rowOff>249272</xdr:rowOff>
    </xdr:from>
    <xdr:to>
      <xdr:col>5</xdr:col>
      <xdr:colOff>2004653</xdr:colOff>
      <xdr:row>59</xdr:row>
      <xdr:rowOff>1772</xdr:rowOff>
    </xdr:to>
    <xdr:sp macro="" textlink="Stakeholder!C13">
      <xdr:nvSpPr>
        <xdr:cNvPr id="107" name="Textfeld 12" title="Key Partnership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 txBox="1"/>
      </xdr:nvSpPr>
      <xdr:spPr>
        <a:xfrm>
          <a:off x="5170703" y="2189959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9D82F6AA-BCDA-4B9A-B5EB-25874236D5B2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2</xdr:col>
      <xdr:colOff>95152</xdr:colOff>
      <xdr:row>64</xdr:row>
      <xdr:rowOff>106397</xdr:rowOff>
    </xdr:from>
    <xdr:to>
      <xdr:col>2</xdr:col>
      <xdr:colOff>1139152</xdr:colOff>
      <xdr:row>65</xdr:row>
      <xdr:rowOff>144647</xdr:rowOff>
    </xdr:to>
    <xdr:sp macro="" textlink="Stakeholder!C14">
      <xdr:nvSpPr>
        <xdr:cNvPr id="108" name="Textfeld 12" title="Key Partnership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 txBox="1"/>
      </xdr:nvSpPr>
      <xdr:spPr>
        <a:xfrm>
          <a:off x="866677" y="2375697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2F0E155-02B0-4D0E-B780-B78F4BD1F70F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2</xdr:col>
      <xdr:colOff>450787</xdr:colOff>
      <xdr:row>61</xdr:row>
      <xdr:rowOff>125447</xdr:rowOff>
    </xdr:from>
    <xdr:to>
      <xdr:col>2</xdr:col>
      <xdr:colOff>1494787</xdr:colOff>
      <xdr:row>62</xdr:row>
      <xdr:rowOff>163696</xdr:rowOff>
    </xdr:to>
    <xdr:sp macro="" textlink="Stakeholder!C15">
      <xdr:nvSpPr>
        <xdr:cNvPr id="109" name="Textfeld 12" title="Key Partnership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 txBox="1"/>
      </xdr:nvSpPr>
      <xdr:spPr>
        <a:xfrm>
          <a:off x="1222312" y="2291877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40D8EA8E-6A96-469D-BEFE-83C6B20855F4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1949241</xdr:colOff>
      <xdr:row>67</xdr:row>
      <xdr:rowOff>104978</xdr:rowOff>
    </xdr:from>
    <xdr:to>
      <xdr:col>7</xdr:col>
      <xdr:colOff>135741</xdr:colOff>
      <xdr:row>68</xdr:row>
      <xdr:rowOff>143228</xdr:rowOff>
    </xdr:to>
    <xdr:sp macro="" textlink="Stakeholder!C23">
      <xdr:nvSpPr>
        <xdr:cNvPr id="110" name="Textfeld 12" title="Key Partnership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 txBox="1"/>
      </xdr:nvSpPr>
      <xdr:spPr>
        <a:xfrm>
          <a:off x="6159291" y="24612803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B3D49803-3A87-4E1F-9F4E-677BE8081FA3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2027296</xdr:colOff>
      <xdr:row>63</xdr:row>
      <xdr:rowOff>101635</xdr:rowOff>
    </xdr:from>
    <xdr:to>
      <xdr:col>7</xdr:col>
      <xdr:colOff>213796</xdr:colOff>
      <xdr:row>64</xdr:row>
      <xdr:rowOff>139885</xdr:rowOff>
    </xdr:to>
    <xdr:sp macro="" textlink="Stakeholder!C17">
      <xdr:nvSpPr>
        <xdr:cNvPr id="111" name="Textfeld 12" title="Key Partnership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 txBox="1"/>
      </xdr:nvSpPr>
      <xdr:spPr>
        <a:xfrm>
          <a:off x="6237346" y="23466460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BFDFA1A-DB89-4CEC-B379-F5CB265670D2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2</xdr:col>
      <xdr:colOff>1810277</xdr:colOff>
      <xdr:row>62</xdr:row>
      <xdr:rowOff>95026</xdr:rowOff>
    </xdr:from>
    <xdr:to>
      <xdr:col>4</xdr:col>
      <xdr:colOff>206327</xdr:colOff>
      <xdr:row>63</xdr:row>
      <xdr:rowOff>133276</xdr:rowOff>
    </xdr:to>
    <xdr:sp macro="" textlink="Stakeholder!C18">
      <xdr:nvSpPr>
        <xdr:cNvPr id="112" name="Textfeld 12" title="Key Partnership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 txBox="1"/>
      </xdr:nvSpPr>
      <xdr:spPr>
        <a:xfrm>
          <a:off x="2581802" y="2317410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B9066B0E-44F8-41AE-B354-02AA01C2BC63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3</xdr:col>
      <xdr:colOff>639706</xdr:colOff>
      <xdr:row>54</xdr:row>
      <xdr:rowOff>114077</xdr:rowOff>
    </xdr:from>
    <xdr:to>
      <xdr:col>5</xdr:col>
      <xdr:colOff>178756</xdr:colOff>
      <xdr:row>55</xdr:row>
      <xdr:rowOff>152327</xdr:rowOff>
    </xdr:to>
    <xdr:sp macro="" textlink="Stakeholder!C16">
      <xdr:nvSpPr>
        <xdr:cNvPr id="113" name="Textfeld 12" title="Key Partnership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 txBox="1"/>
      </xdr:nvSpPr>
      <xdr:spPr>
        <a:xfrm>
          <a:off x="3344806" y="1550647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EE6FC7C8-803B-4017-92EF-882DB8D1A1FD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1498506</xdr:colOff>
      <xdr:row>60</xdr:row>
      <xdr:rowOff>134972</xdr:rowOff>
    </xdr:from>
    <xdr:to>
      <xdr:col>6</xdr:col>
      <xdr:colOff>427956</xdr:colOff>
      <xdr:row>61</xdr:row>
      <xdr:rowOff>173223</xdr:rowOff>
    </xdr:to>
    <xdr:sp macro="" textlink="Stakeholder!C20">
      <xdr:nvSpPr>
        <xdr:cNvPr id="114" name="Textfeld 12" title="Key Partnership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 txBox="1"/>
      </xdr:nvSpPr>
      <xdr:spPr>
        <a:xfrm>
          <a:off x="5708556" y="2264254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3495F17B-6384-42A5-A2CA-0D5BABFB106A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2</xdr:col>
      <xdr:colOff>929052</xdr:colOff>
      <xdr:row>70</xdr:row>
      <xdr:rowOff>3468</xdr:rowOff>
    </xdr:from>
    <xdr:to>
      <xdr:col>3</xdr:col>
      <xdr:colOff>39477</xdr:colOff>
      <xdr:row>71</xdr:row>
      <xdr:rowOff>41718</xdr:rowOff>
    </xdr:to>
    <xdr:sp macro="" textlink="Stakeholder!C21">
      <xdr:nvSpPr>
        <xdr:cNvPr id="115" name="Textfeld 12" title="Key Partnership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 txBox="1"/>
      </xdr:nvSpPr>
      <xdr:spPr>
        <a:xfrm>
          <a:off x="1700577" y="25368543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E9C930E8-E53D-414C-B2D6-76A8F8199BA0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723504</xdr:colOff>
      <xdr:row>69</xdr:row>
      <xdr:rowOff>58772</xdr:rowOff>
    </xdr:from>
    <xdr:to>
      <xdr:col>5</xdr:col>
      <xdr:colOff>1767504</xdr:colOff>
      <xdr:row>70</xdr:row>
      <xdr:rowOff>97022</xdr:rowOff>
    </xdr:to>
    <xdr:sp macro="" textlink="Stakeholder!C22">
      <xdr:nvSpPr>
        <xdr:cNvPr id="116" name="Textfeld 12" title="Key Partnership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 txBox="1"/>
      </xdr:nvSpPr>
      <xdr:spPr>
        <a:xfrm>
          <a:off x="4933554" y="2513809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48B79D0F-8099-4437-BCBD-2532AF56DF02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3</xdr:col>
      <xdr:colOff>12681</xdr:colOff>
      <xdr:row>72</xdr:row>
      <xdr:rowOff>239747</xdr:rowOff>
    </xdr:from>
    <xdr:to>
      <xdr:col>4</xdr:col>
      <xdr:colOff>342306</xdr:colOff>
      <xdr:row>73</xdr:row>
      <xdr:rowOff>277997</xdr:rowOff>
    </xdr:to>
    <xdr:sp macro="" textlink="Stakeholder!C19">
      <xdr:nvSpPr>
        <xdr:cNvPr id="117" name="Textfeld 12" title="Key Partnership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 txBox="1"/>
      </xdr:nvSpPr>
      <xdr:spPr>
        <a:xfrm>
          <a:off x="2717781" y="2617632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11D9D28-4DD8-41E2-82AA-2435CF0D6AF0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646326</xdr:colOff>
      <xdr:row>61</xdr:row>
      <xdr:rowOff>263268</xdr:rowOff>
    </xdr:from>
    <xdr:to>
      <xdr:col>5</xdr:col>
      <xdr:colOff>1690326</xdr:colOff>
      <xdr:row>63</xdr:row>
      <xdr:rowOff>15768</xdr:rowOff>
    </xdr:to>
    <xdr:sp macro="" textlink="Stakeholder!C7">
      <xdr:nvSpPr>
        <xdr:cNvPr id="118" name="Textfeld 117" title="Key Partnership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 txBox="1"/>
      </xdr:nvSpPr>
      <xdr:spPr>
        <a:xfrm>
          <a:off x="4856376" y="17655918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46B5466-6870-423F-880B-146DFD8120AD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523062</xdr:colOff>
      <xdr:row>66</xdr:row>
      <xdr:rowOff>215094</xdr:rowOff>
    </xdr:from>
    <xdr:to>
      <xdr:col>5</xdr:col>
      <xdr:colOff>1567062</xdr:colOff>
      <xdr:row>67</xdr:row>
      <xdr:rowOff>253344</xdr:rowOff>
    </xdr:to>
    <xdr:sp macro="" textlink="Stakeholder!C24">
      <xdr:nvSpPr>
        <xdr:cNvPr id="119" name="Textfeld 12" title="Key Partnership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 txBox="1"/>
      </xdr:nvSpPr>
      <xdr:spPr>
        <a:xfrm>
          <a:off x="4733112" y="24437169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A223AC68-263A-46AC-BC87-3E21DA48F964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4</xdr:col>
      <xdr:colOff>53815</xdr:colOff>
      <xdr:row>67</xdr:row>
      <xdr:rowOff>201559</xdr:rowOff>
    </xdr:from>
    <xdr:to>
      <xdr:col>5</xdr:col>
      <xdr:colOff>307240</xdr:colOff>
      <xdr:row>68</xdr:row>
      <xdr:rowOff>239809</xdr:rowOff>
    </xdr:to>
    <xdr:sp macro="" textlink="Stakeholder!C9">
      <xdr:nvSpPr>
        <xdr:cNvPr id="120" name="Textfeld 119" title="Key Partnership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/>
      </xdr:nvSpPr>
      <xdr:spPr>
        <a:xfrm>
          <a:off x="3473290" y="2470938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>
          <a:noAutofit/>
        </a:bodyPr>
        <a:lstStyle/>
        <a:p>
          <a:pPr algn="ctr"/>
          <a:fld id="{7145FD8A-FFDD-4A9D-BCB1-BC2F629AA30D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4</xdr:col>
      <xdr:colOff>447331</xdr:colOff>
      <xdr:row>55</xdr:row>
      <xdr:rowOff>152327</xdr:rowOff>
    </xdr:from>
    <xdr:to>
      <xdr:col>5</xdr:col>
      <xdr:colOff>87787</xdr:colOff>
      <xdr:row>63</xdr:row>
      <xdr:rowOff>17511</xdr:rowOff>
    </xdr:to>
    <xdr:cxnSp macro="">
      <xdr:nvCxnSpPr>
        <xdr:cNvPr id="121" name="Gekrümmte Verbindung 120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CxnSpPr>
          <a:stCxn id="90" idx="7"/>
          <a:endCxn id="113" idx="2"/>
        </xdr:cNvCxnSpPr>
      </xdr:nvCxnSpPr>
      <xdr:spPr>
        <a:xfrm rot="16200000" flipV="1">
          <a:off x="3006730" y="16690553"/>
          <a:ext cx="2151184" cy="43103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173286</xdr:colOff>
      <xdr:row>59</xdr:row>
      <xdr:rowOff>236457</xdr:rowOff>
    </xdr:from>
    <xdr:to>
      <xdr:col>5</xdr:col>
      <xdr:colOff>426711</xdr:colOff>
      <xdr:row>60</xdr:row>
      <xdr:rowOff>274707</xdr:rowOff>
    </xdr:to>
    <xdr:sp macro="" textlink="Stakeholder!C5">
      <xdr:nvSpPr>
        <xdr:cNvPr id="122" name="Textfeld 121" title="Key Partnership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 txBox="1"/>
      </xdr:nvSpPr>
      <xdr:spPr>
        <a:xfrm>
          <a:off x="3592761" y="2245828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AD2C7169-238A-48DA-A35C-701FEC7490D7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Gruppe 1 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oneCellAnchor>
    <xdr:from>
      <xdr:col>3</xdr:col>
      <xdr:colOff>609104</xdr:colOff>
      <xdr:row>53</xdr:row>
      <xdr:rowOff>66675</xdr:rowOff>
    </xdr:from>
    <xdr:ext cx="1534517" cy="311496"/>
    <xdr:sp macro="" textlink="' '!A47">
      <xdr:nvSpPr>
        <xdr:cNvPr id="138" name="Textfeld 13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 txBox="1"/>
      </xdr:nvSpPr>
      <xdr:spPr>
        <a:xfrm>
          <a:off x="3390404" y="14956155"/>
          <a:ext cx="153451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1FE6B026-E8D7-42F9-A0F2-B2E6B7F953EF}" type="TxLink">
            <a:rPr lang="de-CH" sz="1400" b="1">
              <a:solidFill>
                <a:schemeClr val="tx1">
                  <a:lumMod val="65000"/>
                  <a:lumOff val="35000"/>
                </a:schemeClr>
              </a:solidFill>
            </a:rPr>
            <a:pPr algn="ctr"/>
            <a:t>Contexte large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oneCellAnchor>
  <xdr:oneCellAnchor>
    <xdr:from>
      <xdr:col>4</xdr:col>
      <xdr:colOff>219120</xdr:colOff>
      <xdr:row>61</xdr:row>
      <xdr:rowOff>9776</xdr:rowOff>
    </xdr:from>
    <xdr:ext cx="885734" cy="311496"/>
    <xdr:sp macro="" textlink="' '!A49">
      <xdr:nvSpPr>
        <xdr:cNvPr id="139" name="Textfeld 13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 txBox="1"/>
      </xdr:nvSpPr>
      <xdr:spPr>
        <a:xfrm>
          <a:off x="3638595" y="17402426"/>
          <a:ext cx="88573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B7AA6A3B-F256-4F0C-BF2D-FC6DD9145824}" type="TxLink">
            <a:rPr lang="de-CH" sz="1400" b="1">
              <a:solidFill>
                <a:schemeClr val="tx1">
                  <a:lumMod val="75000"/>
                  <a:lumOff val="25000"/>
                </a:schemeClr>
              </a:solidFill>
            </a:rPr>
            <a:pPr algn="ctr"/>
            <a:t>interne</a:t>
          </a:fld>
          <a:endParaRPr lang="de-CH" sz="1400" b="1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oneCellAnchor>
  <xdr:twoCellAnchor editAs="oneCell">
    <xdr:from>
      <xdr:col>3</xdr:col>
      <xdr:colOff>678558</xdr:colOff>
      <xdr:row>65</xdr:row>
      <xdr:rowOff>17367</xdr:rowOff>
    </xdr:from>
    <xdr:to>
      <xdr:col>4</xdr:col>
      <xdr:colOff>770040</xdr:colOff>
      <xdr:row>66</xdr:row>
      <xdr:rowOff>105883</xdr:rowOff>
    </xdr:to>
    <xdr:cxnSp macro="">
      <xdr:nvCxnSpPr>
        <xdr:cNvPr id="140" name="Gekrümmte Verbindung 139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CxnSpPr/>
      </xdr:nvCxnSpPr>
      <xdr:spPr>
        <a:xfrm rot="5400000">
          <a:off x="3599454" y="23737896"/>
          <a:ext cx="374266" cy="805857"/>
        </a:xfrm>
        <a:prstGeom prst="curvedConnector3">
          <a:avLst>
            <a:gd name="adj1" fmla="val 16108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4</xdr:col>
      <xdr:colOff>573805</xdr:colOff>
      <xdr:row>65</xdr:row>
      <xdr:rowOff>17367</xdr:rowOff>
    </xdr:from>
    <xdr:to>
      <xdr:col>4</xdr:col>
      <xdr:colOff>770040</xdr:colOff>
      <xdr:row>67</xdr:row>
      <xdr:rowOff>207677</xdr:rowOff>
    </xdr:to>
    <xdr:cxnSp macro="">
      <xdr:nvCxnSpPr>
        <xdr:cNvPr id="141" name="Gekrümmte Verbindung 140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CxnSpPr/>
      </xdr:nvCxnSpPr>
      <xdr:spPr>
        <a:xfrm rot="5400000">
          <a:off x="3710493" y="24236479"/>
          <a:ext cx="761810" cy="196235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1609725</xdr:colOff>
      <xdr:row>64</xdr:row>
      <xdr:rowOff>213491</xdr:rowOff>
    </xdr:from>
    <xdr:to>
      <xdr:col>4</xdr:col>
      <xdr:colOff>553666</xdr:colOff>
      <xdr:row>67</xdr:row>
      <xdr:rowOff>253536</xdr:rowOff>
    </xdr:to>
    <xdr:cxnSp macro="">
      <xdr:nvCxnSpPr>
        <xdr:cNvPr id="142" name="Gekrümmte Verbindung 14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CxnSpPr/>
      </xdr:nvCxnSpPr>
      <xdr:spPr>
        <a:xfrm rot="5400000">
          <a:off x="2728548" y="23516768"/>
          <a:ext cx="897295" cy="1591891"/>
        </a:xfrm>
        <a:prstGeom prst="curvedConnector2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661986</xdr:colOff>
      <xdr:row>59</xdr:row>
      <xdr:rowOff>1773</xdr:rowOff>
    </xdr:from>
    <xdr:to>
      <xdr:col>5</xdr:col>
      <xdr:colOff>1482652</xdr:colOff>
      <xdr:row>62</xdr:row>
      <xdr:rowOff>213637</xdr:rowOff>
    </xdr:to>
    <xdr:cxnSp macro="">
      <xdr:nvCxnSpPr>
        <xdr:cNvPr id="143" name="Gekrümmte Verbindung 142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CxnSpPr>
          <a:stCxn id="90" idx="0"/>
          <a:endCxn id="107" idx="2"/>
        </xdr:cNvCxnSpPr>
      </xdr:nvCxnSpPr>
      <xdr:spPr>
        <a:xfrm rot="5400000" flipH="1" flipV="1">
          <a:off x="4352525" y="16551859"/>
          <a:ext cx="1069114" cy="161124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356847</xdr:colOff>
      <xdr:row>63</xdr:row>
      <xdr:rowOff>49373</xdr:rowOff>
    </xdr:from>
    <xdr:to>
      <xdr:col>5</xdr:col>
      <xdr:colOff>890928</xdr:colOff>
      <xdr:row>64</xdr:row>
      <xdr:rowOff>132650</xdr:rowOff>
    </xdr:to>
    <xdr:cxnSp macro="">
      <xdr:nvCxnSpPr>
        <xdr:cNvPr id="144" name="Gekrümmte Verbindung 143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CxnSpPr/>
      </xdr:nvCxnSpPr>
      <xdr:spPr>
        <a:xfrm rot="5400000" flipH="1" flipV="1">
          <a:off x="3896949" y="22579196"/>
          <a:ext cx="369027" cy="203903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770040</xdr:colOff>
      <xdr:row>65</xdr:row>
      <xdr:rowOff>17365</xdr:rowOff>
    </xdr:from>
    <xdr:to>
      <xdr:col>5</xdr:col>
      <xdr:colOff>1043052</xdr:colOff>
      <xdr:row>66</xdr:row>
      <xdr:rowOff>221210</xdr:rowOff>
    </xdr:to>
    <xdr:cxnSp macro="">
      <xdr:nvCxnSpPr>
        <xdr:cNvPr id="145" name="Gekrümmte Verbindung 14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CxnSpPr/>
      </xdr:nvCxnSpPr>
      <xdr:spPr>
        <a:xfrm rot="16200000" flipH="1">
          <a:off x="4476511" y="23666694"/>
          <a:ext cx="489595" cy="1063587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426711</xdr:colOff>
      <xdr:row>60</xdr:row>
      <xdr:rowOff>112707</xdr:rowOff>
    </xdr:from>
    <xdr:to>
      <xdr:col>5</xdr:col>
      <xdr:colOff>646326</xdr:colOff>
      <xdr:row>62</xdr:row>
      <xdr:rowOff>139518</xdr:rowOff>
    </xdr:to>
    <xdr:cxnSp macro="">
      <xdr:nvCxnSpPr>
        <xdr:cNvPr id="146" name="Gekrümmte Verbindung 145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CxnSpPr>
          <a:stCxn id="122" idx="3"/>
          <a:endCxn id="118" idx="1"/>
        </xdr:cNvCxnSpPr>
      </xdr:nvCxnSpPr>
      <xdr:spPr>
        <a:xfrm>
          <a:off x="4636761" y="17219607"/>
          <a:ext cx="219615" cy="598311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195839</xdr:colOff>
      <xdr:row>64</xdr:row>
      <xdr:rowOff>213491</xdr:rowOff>
    </xdr:from>
    <xdr:to>
      <xdr:col>5</xdr:col>
      <xdr:colOff>425110</xdr:colOff>
      <xdr:row>65</xdr:row>
      <xdr:rowOff>20093</xdr:rowOff>
    </xdr:to>
    <xdr:cxnSp macro="">
      <xdr:nvCxnSpPr>
        <xdr:cNvPr id="147" name="Gekrümmte Verbindung 146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CxnSpPr/>
      </xdr:nvCxnSpPr>
      <xdr:spPr>
        <a:xfrm rot="16200000" flipH="1">
          <a:off x="4474349" y="23795606"/>
          <a:ext cx="92352" cy="229271"/>
        </a:xfrm>
        <a:prstGeom prst="curvedConnector2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553666</xdr:colOff>
      <xdr:row>64</xdr:row>
      <xdr:rowOff>213490</xdr:rowOff>
    </xdr:from>
    <xdr:to>
      <xdr:col>4</xdr:col>
      <xdr:colOff>573806</xdr:colOff>
      <xdr:row>67</xdr:row>
      <xdr:rowOff>207675</xdr:rowOff>
    </xdr:to>
    <xdr:cxnSp macro="">
      <xdr:nvCxnSpPr>
        <xdr:cNvPr id="148" name="Gekrümmte Verbindung 14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CxnSpPr/>
      </xdr:nvCxnSpPr>
      <xdr:spPr>
        <a:xfrm rot="16200000" flipH="1">
          <a:off x="3557493" y="24279713"/>
          <a:ext cx="851435" cy="20140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355987</xdr:colOff>
      <xdr:row>62</xdr:row>
      <xdr:rowOff>213636</xdr:rowOff>
    </xdr:from>
    <xdr:to>
      <xdr:col>5</xdr:col>
      <xdr:colOff>177412</xdr:colOff>
      <xdr:row>64</xdr:row>
      <xdr:rowOff>254136</xdr:rowOff>
    </xdr:to>
    <xdr:sp macro="" textlink="' '!A50">
      <xdr:nvSpPr>
        <xdr:cNvPr id="90" name="Ellipse 89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>
        <a:xfrm>
          <a:off x="3775462" y="17892036"/>
          <a:ext cx="612000" cy="612000"/>
        </a:xfrm>
        <a:prstGeom prst="ellipse">
          <a:avLst/>
        </a:prstGeom>
        <a:ln>
          <a:noFill/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>
          <a:noAutofit/>
        </a:bodyPr>
        <a:lstStyle/>
        <a:p>
          <a:pPr algn="ctr"/>
          <a:fld id="{E6231127-6C08-4D6F-8967-184EA1D91DF2}" type="TxLink">
            <a:rPr lang="de-CH" sz="1400" b="1">
              <a:solidFill>
                <a:srgbClr val="C00000"/>
              </a:solidFill>
            </a:rPr>
            <a:pPr algn="ctr"/>
            <a:t>Nous</a:t>
          </a:fld>
          <a:endParaRPr lang="de-CH" sz="1400" b="1">
            <a:solidFill>
              <a:srgbClr val="C00000"/>
            </a:solidFill>
          </a:endParaRPr>
        </a:p>
      </xdr:txBody>
    </xdr:sp>
    <xdr:clientData/>
  </xdr:twoCellAnchor>
  <xdr:twoCellAnchor editAs="oneCell">
    <xdr:from>
      <xdr:col>0</xdr:col>
      <xdr:colOff>66675</xdr:colOff>
      <xdr:row>23</xdr:row>
      <xdr:rowOff>0</xdr:rowOff>
    </xdr:from>
    <xdr:to>
      <xdr:col>0</xdr:col>
      <xdr:colOff>390675</xdr:colOff>
      <xdr:row>24</xdr:row>
      <xdr:rowOff>30190</xdr:rowOff>
    </xdr:to>
    <xdr:grpSp>
      <xdr:nvGrpSpPr>
        <xdr:cNvPr id="152" name="Gruppieren 15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GrpSpPr/>
      </xdr:nvGrpSpPr>
      <xdr:grpSpPr>
        <a:xfrm>
          <a:off x="66675" y="6934200"/>
          <a:ext cx="324000" cy="327370"/>
          <a:chOff x="66675" y="4972050"/>
          <a:chExt cx="324000" cy="325465"/>
        </a:xfrm>
      </xdr:grpSpPr>
      <xdr:sp macro="" textlink="">
        <xdr:nvSpPr>
          <xdr:cNvPr id="153" name="Rechteck 152">
            <a:extLst>
              <a:ext uri="{FF2B5EF4-FFF2-40B4-BE49-F238E27FC236}">
                <a16:creationId xmlns:a16="http://schemas.microsoft.com/office/drawing/2014/main" id="{00000000-0008-0000-0300-00009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4" name="Pfeil nach oben 153">
            <a:extLst>
              <a:ext uri="{FF2B5EF4-FFF2-40B4-BE49-F238E27FC236}">
                <a16:creationId xmlns:a16="http://schemas.microsoft.com/office/drawing/2014/main" id="{00000000-0008-0000-0300-00009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46</xdr:row>
      <xdr:rowOff>219075</xdr:rowOff>
    </xdr:from>
    <xdr:to>
      <xdr:col>0</xdr:col>
      <xdr:colOff>390675</xdr:colOff>
      <xdr:row>47</xdr:row>
      <xdr:rowOff>258790</xdr:rowOff>
    </xdr:to>
    <xdr:grpSp>
      <xdr:nvGrpSpPr>
        <xdr:cNvPr id="155" name="Gruppieren 1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GrpSpPr/>
      </xdr:nvGrpSpPr>
      <xdr:grpSpPr>
        <a:xfrm>
          <a:off x="66675" y="13554075"/>
          <a:ext cx="324000" cy="321655"/>
          <a:chOff x="66675" y="4972050"/>
          <a:chExt cx="324000" cy="325465"/>
        </a:xfrm>
      </xdr:grpSpPr>
      <xdr:sp macro="" textlink="">
        <xdr:nvSpPr>
          <xdr:cNvPr id="156" name="Rechteck 155">
            <a:extLst>
              <a:ext uri="{FF2B5EF4-FFF2-40B4-BE49-F238E27FC236}">
                <a16:creationId xmlns:a16="http://schemas.microsoft.com/office/drawing/2014/main" id="{00000000-0008-0000-0300-00009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7" name="Pfeil nach oben 156">
            <a:extLst>
              <a:ext uri="{FF2B5EF4-FFF2-40B4-BE49-F238E27FC236}">
                <a16:creationId xmlns:a16="http://schemas.microsoft.com/office/drawing/2014/main" id="{00000000-0008-0000-0300-00009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73</xdr:row>
      <xdr:rowOff>247650</xdr:rowOff>
    </xdr:from>
    <xdr:to>
      <xdr:col>0</xdr:col>
      <xdr:colOff>390675</xdr:colOff>
      <xdr:row>75</xdr:row>
      <xdr:rowOff>1615</xdr:rowOff>
    </xdr:to>
    <xdr:grpSp>
      <xdr:nvGrpSpPr>
        <xdr:cNvPr id="158" name="Gruppieren 15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GrpSpPr/>
      </xdr:nvGrpSpPr>
      <xdr:grpSpPr>
        <a:xfrm>
          <a:off x="66675" y="20920710"/>
          <a:ext cx="324000" cy="317845"/>
          <a:chOff x="66675" y="4972050"/>
          <a:chExt cx="324000" cy="325465"/>
        </a:xfrm>
      </xdr:grpSpPr>
      <xdr:sp macro="" textlink="">
        <xdr:nvSpPr>
          <xdr:cNvPr id="159" name="Rechteck 158">
            <a:extLst>
              <a:ext uri="{FF2B5EF4-FFF2-40B4-BE49-F238E27FC236}">
                <a16:creationId xmlns:a16="http://schemas.microsoft.com/office/drawing/2014/main" id="{00000000-0008-0000-0300-00009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0" name="Pfeil nach oben 159">
            <a:extLst>
              <a:ext uri="{FF2B5EF4-FFF2-40B4-BE49-F238E27FC236}">
                <a16:creationId xmlns:a16="http://schemas.microsoft.com/office/drawing/2014/main" id="{00000000-0008-0000-0300-0000A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48</xdr:row>
      <xdr:rowOff>0</xdr:rowOff>
    </xdr:from>
    <xdr:to>
      <xdr:col>0</xdr:col>
      <xdr:colOff>390675</xdr:colOff>
      <xdr:row>50</xdr:row>
      <xdr:rowOff>30190</xdr:rowOff>
    </xdr:to>
    <xdr:grpSp>
      <xdr:nvGrpSpPr>
        <xdr:cNvPr id="161" name="Gruppieren 16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GrpSpPr/>
      </xdr:nvGrpSpPr>
      <xdr:grpSpPr>
        <a:xfrm>
          <a:off x="66675" y="13898880"/>
          <a:ext cx="324000" cy="319750"/>
          <a:chOff x="9505950" y="828675"/>
          <a:chExt cx="324000" cy="325465"/>
        </a:xfrm>
      </xdr:grpSpPr>
      <xdr:sp macro="" textlink="">
        <xdr:nvSpPr>
          <xdr:cNvPr id="162" name="Rechteck 161">
            <a:extLst>
              <a:ext uri="{FF2B5EF4-FFF2-40B4-BE49-F238E27FC236}">
                <a16:creationId xmlns:a16="http://schemas.microsoft.com/office/drawing/2014/main" id="{00000000-0008-0000-0300-0000A2000000}"/>
              </a:ext>
            </a:extLst>
          </xdr:cNvPr>
          <xdr:cNvSpPr>
            <a:spLocks noChangeAspect="1"/>
          </xdr:cNvSpPr>
        </xdr:nvSpPr>
        <xdr:spPr>
          <a:xfrm>
            <a:off x="9505950" y="828675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3" name="Pfeil nach oben 162">
            <a:extLst>
              <a:ext uri="{FF2B5EF4-FFF2-40B4-BE49-F238E27FC236}">
                <a16:creationId xmlns:a16="http://schemas.microsoft.com/office/drawing/2014/main" id="{00000000-0008-0000-0300-0000A3000000}"/>
              </a:ext>
            </a:extLst>
          </xdr:cNvPr>
          <xdr:cNvSpPr>
            <a:spLocks noChangeAspect="1"/>
          </xdr:cNvSpPr>
        </xdr:nvSpPr>
        <xdr:spPr>
          <a:xfrm flipV="1">
            <a:off x="9578435" y="901407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/>
  </xdr:twoCellAnchor>
  <xdr:twoCellAnchor editAs="oneCell">
    <xdr:from>
      <xdr:col>5</xdr:col>
      <xdr:colOff>9525</xdr:colOff>
      <xdr:row>26</xdr:row>
      <xdr:rowOff>57150</xdr:rowOff>
    </xdr:from>
    <xdr:to>
      <xdr:col>6</xdr:col>
      <xdr:colOff>714376</xdr:colOff>
      <xdr:row>27</xdr:row>
      <xdr:rowOff>176832</xdr:rowOff>
    </xdr:to>
    <xdr:sp macro="" textlink="' '!A73">
      <xdr:nvSpPr>
        <xdr:cNvPr id="123" name="TextBox 124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/>
      </xdr:nvSpPr>
      <xdr:spPr>
        <a:xfrm>
          <a:off x="4219575" y="77247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7C6D8547-1022-4335-B8E5-B2814BDF11C2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Suivre de près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438150</xdr:colOff>
      <xdr:row>26</xdr:row>
      <xdr:rowOff>57150</xdr:rowOff>
    </xdr:from>
    <xdr:to>
      <xdr:col>4</xdr:col>
      <xdr:colOff>609601</xdr:colOff>
      <xdr:row>27</xdr:row>
      <xdr:rowOff>176832</xdr:rowOff>
    </xdr:to>
    <xdr:sp macro="" textlink="' '!A70">
      <xdr:nvSpPr>
        <xdr:cNvPr id="124" name="TextBox 2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 txBox="1"/>
      </xdr:nvSpPr>
      <xdr:spPr>
        <a:xfrm>
          <a:off x="1209675" y="77247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D73484E8-C0FA-4E83-8C0D-84168C7724D8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Maintenir satisfait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447675</xdr:colOff>
      <xdr:row>45</xdr:row>
      <xdr:rowOff>76200</xdr:rowOff>
    </xdr:from>
    <xdr:to>
      <xdr:col>4</xdr:col>
      <xdr:colOff>619126</xdr:colOff>
      <xdr:row>46</xdr:row>
      <xdr:rowOff>195882</xdr:rowOff>
    </xdr:to>
    <xdr:sp macro="" textlink="' '!A71">
      <xdr:nvSpPr>
        <xdr:cNvPr id="125" name="TextBox 122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 txBox="1"/>
      </xdr:nvSpPr>
      <xdr:spPr>
        <a:xfrm>
          <a:off x="1219200" y="131730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C4A0D499-6268-4CE6-A130-64CBD3FF0029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Surveiller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771525</xdr:colOff>
      <xdr:row>45</xdr:row>
      <xdr:rowOff>76200</xdr:rowOff>
    </xdr:from>
    <xdr:to>
      <xdr:col>6</xdr:col>
      <xdr:colOff>685801</xdr:colOff>
      <xdr:row>46</xdr:row>
      <xdr:rowOff>195882</xdr:rowOff>
    </xdr:to>
    <xdr:sp macro="" textlink="' '!A72">
      <xdr:nvSpPr>
        <xdr:cNvPr id="126" name="TextBox 123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 txBox="1"/>
      </xdr:nvSpPr>
      <xdr:spPr>
        <a:xfrm>
          <a:off x="4191000" y="131730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60D9F2E0-A64A-4717-B028-CDB76DED8981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Tenir informé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1447800</xdr:colOff>
      <xdr:row>71</xdr:row>
      <xdr:rowOff>190500</xdr:rowOff>
    </xdr:from>
    <xdr:to>
      <xdr:col>8</xdr:col>
      <xdr:colOff>533400</xdr:colOff>
      <xdr:row>71</xdr:row>
      <xdr:rowOff>190500</xdr:rowOff>
    </xdr:to>
    <xdr:cxnSp macro="">
      <xdr:nvCxnSpPr>
        <xdr:cNvPr id="9" name="Gerade Verbindung mit Pfeil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>
          <a:off x="8515350" y="20726400"/>
          <a:ext cx="685800" cy="0"/>
        </a:xfrm>
        <a:prstGeom prst="straightConnector1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>
    <xdr:from>
      <xdr:col>7</xdr:col>
      <xdr:colOff>1447800</xdr:colOff>
      <xdr:row>72</xdr:row>
      <xdr:rowOff>209550</xdr:rowOff>
    </xdr:from>
    <xdr:to>
      <xdr:col>8</xdr:col>
      <xdr:colOff>533400</xdr:colOff>
      <xdr:row>72</xdr:row>
      <xdr:rowOff>209550</xdr:rowOff>
    </xdr:to>
    <xdr:cxnSp macro="">
      <xdr:nvCxnSpPr>
        <xdr:cNvPr id="127" name="Gerade Verbindung mit Pfeil 126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CxnSpPr/>
      </xdr:nvCxnSpPr>
      <xdr:spPr>
        <a:xfrm>
          <a:off x="8515350" y="21031200"/>
          <a:ext cx="685800" cy="0"/>
        </a:xfrm>
        <a:prstGeom prst="straightConnector1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7</xdr:col>
      <xdr:colOff>1447800</xdr:colOff>
      <xdr:row>73</xdr:row>
      <xdr:rowOff>200025</xdr:rowOff>
    </xdr:from>
    <xdr:to>
      <xdr:col>8</xdr:col>
      <xdr:colOff>533400</xdr:colOff>
      <xdr:row>73</xdr:row>
      <xdr:rowOff>200025</xdr:rowOff>
    </xdr:to>
    <xdr:cxnSp macro="">
      <xdr:nvCxnSpPr>
        <xdr:cNvPr id="128" name="Gerade Verbindung mit Pfeil 12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CxnSpPr/>
      </xdr:nvCxnSpPr>
      <xdr:spPr>
        <a:xfrm>
          <a:off x="8515350" y="21307425"/>
          <a:ext cx="685800" cy="0"/>
        </a:xfrm>
        <a:prstGeom prst="straightConnector1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</xdr:col>
      <xdr:colOff>136337</xdr:colOff>
      <xdr:row>25</xdr:row>
      <xdr:rowOff>190500</xdr:rowOff>
    </xdr:from>
    <xdr:to>
      <xdr:col>7</xdr:col>
      <xdr:colOff>250453</xdr:colOff>
      <xdr:row>48</xdr:row>
      <xdr:rowOff>38100</xdr:rowOff>
    </xdr:to>
    <xdr:graphicFrame macro="">
      <xdr:nvGraphicFramePr>
        <xdr:cNvPr id="75" name="Diagramm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1695445</xdr:colOff>
          <xdr:row>0</xdr:row>
          <xdr:rowOff>14289</xdr:rowOff>
        </xdr:from>
        <xdr:to>
          <xdr:col>10</xdr:col>
          <xdr:colOff>9520</xdr:colOff>
          <xdr:row>0</xdr:row>
          <xdr:rowOff>547689</xdr:rowOff>
        </xdr:to>
        <xdr:pic>
          <xdr:nvPicPr>
            <xdr:cNvPr id="129" name="Grafik 45">
              <a:extLst>
                <a:ext uri="{FF2B5EF4-FFF2-40B4-BE49-F238E27FC236}">
                  <a16:creationId xmlns:a16="http://schemas.microsoft.com/office/drawing/2014/main" id="{00000000-0008-0000-0300-000081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97290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5" y="14289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428625</xdr:colOff>
      <xdr:row>6</xdr:row>
      <xdr:rowOff>23812</xdr:rowOff>
    </xdr:from>
    <xdr:to>
      <xdr:col>6</xdr:col>
      <xdr:colOff>714375</xdr:colOff>
      <xdr:row>13</xdr:row>
      <xdr:rowOff>2663079</xdr:rowOff>
    </xdr:to>
    <xdr:graphicFrame macro="">
      <xdr:nvGraphicFramePr>
        <xdr:cNvPr id="72" name="Chart 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614695</xdr:colOff>
      <xdr:row>10</xdr:row>
      <xdr:rowOff>171450</xdr:rowOff>
    </xdr:from>
    <xdr:to>
      <xdr:col>6</xdr:col>
      <xdr:colOff>643870</xdr:colOff>
      <xdr:row>13</xdr:row>
      <xdr:rowOff>712</xdr:rowOff>
    </xdr:to>
    <xdr:sp macro="" textlink="">
      <xdr:nvSpPr>
        <xdr:cNvPr id="4" name="Abgerundetes Rechteck 3">
          <a:hlinkClick xmlns:r="http://schemas.openxmlformats.org/officeDocument/2006/relationships" r:id="rId2" tooltip="Pestle - Ökonomisch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053470" y="2219325"/>
          <a:ext cx="1296000" cy="396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Economic</a:t>
          </a:r>
        </a:p>
      </xdr:txBody>
    </xdr:sp>
    <xdr:clientData/>
  </xdr:twoCellAnchor>
  <xdr:twoCellAnchor editAs="oneCell">
    <xdr:from>
      <xdr:col>4</xdr:col>
      <xdr:colOff>619300</xdr:colOff>
      <xdr:row>13</xdr:row>
      <xdr:rowOff>1647825</xdr:rowOff>
    </xdr:from>
    <xdr:to>
      <xdr:col>6</xdr:col>
      <xdr:colOff>648475</xdr:colOff>
      <xdr:row>13</xdr:row>
      <xdr:rowOff>2043825</xdr:rowOff>
    </xdr:to>
    <xdr:sp macro="" textlink="">
      <xdr:nvSpPr>
        <xdr:cNvPr id="5" name="Abgerundetes Rechteck 4">
          <a:hlinkClick xmlns:r="http://schemas.openxmlformats.org/officeDocument/2006/relationships" r:id="rId3" tooltip="Pestle - Soziologisch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6058075" y="4267200"/>
          <a:ext cx="1296000" cy="396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Social</a:t>
          </a:r>
        </a:p>
      </xdr:txBody>
    </xdr:sp>
    <xdr:clientData/>
  </xdr:twoCellAnchor>
  <xdr:twoCellAnchor editAs="oneCell">
    <xdr:from>
      <xdr:col>3</xdr:col>
      <xdr:colOff>924004</xdr:colOff>
      <xdr:row>13</xdr:row>
      <xdr:rowOff>2838450</xdr:rowOff>
    </xdr:from>
    <xdr:to>
      <xdr:col>3</xdr:col>
      <xdr:colOff>2220004</xdr:colOff>
      <xdr:row>13</xdr:row>
      <xdr:rowOff>3234450</xdr:rowOff>
    </xdr:to>
    <xdr:sp macro="" textlink="">
      <xdr:nvSpPr>
        <xdr:cNvPr id="6" name="Abgerundetes Rechteck 5">
          <a:hlinkClick xmlns:r="http://schemas.openxmlformats.org/officeDocument/2006/relationships" r:id="rId4" tooltip="Pestle - Technologisch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3743404" y="5457825"/>
          <a:ext cx="1296000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300" b="0"/>
            <a:t>Technological</a:t>
          </a:r>
        </a:p>
      </xdr:txBody>
    </xdr:sp>
    <xdr:clientData/>
  </xdr:twoCellAnchor>
  <xdr:twoCellAnchor editAs="oneCell">
    <xdr:from>
      <xdr:col>2</xdr:col>
      <xdr:colOff>709470</xdr:colOff>
      <xdr:row>13</xdr:row>
      <xdr:rowOff>1647825</xdr:rowOff>
    </xdr:from>
    <xdr:to>
      <xdr:col>2</xdr:col>
      <xdr:colOff>2005470</xdr:colOff>
      <xdr:row>13</xdr:row>
      <xdr:rowOff>2043825</xdr:rowOff>
    </xdr:to>
    <xdr:sp macro="" textlink="">
      <xdr:nvSpPr>
        <xdr:cNvPr id="7" name="Abgerundetes Rechteck 6">
          <a:hlinkClick xmlns:r="http://schemas.openxmlformats.org/officeDocument/2006/relationships" r:id="rId5" tooltip="Pestle - Rechtlich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433370" y="4267200"/>
          <a:ext cx="1296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400" b="0"/>
            <a:t>Environmental</a:t>
          </a:r>
        </a:p>
      </xdr:txBody>
    </xdr:sp>
    <xdr:clientData/>
  </xdr:twoCellAnchor>
  <xdr:twoCellAnchor editAs="oneCell">
    <xdr:from>
      <xdr:col>2</xdr:col>
      <xdr:colOff>699787</xdr:colOff>
      <xdr:row>10</xdr:row>
      <xdr:rowOff>171450</xdr:rowOff>
    </xdr:from>
    <xdr:to>
      <xdr:col>2</xdr:col>
      <xdr:colOff>1995787</xdr:colOff>
      <xdr:row>13</xdr:row>
      <xdr:rowOff>712</xdr:rowOff>
    </xdr:to>
    <xdr:sp macro="" textlink="">
      <xdr:nvSpPr>
        <xdr:cNvPr id="8" name="Abgerundetes Rechteck 7">
          <a:hlinkClick xmlns:r="http://schemas.openxmlformats.org/officeDocument/2006/relationships" r:id="rId6" tooltip="Pestle - Ökologisch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423687" y="2219325"/>
          <a:ext cx="1296000" cy="396000"/>
        </a:xfrm>
        <a:prstGeom prst="roundRect">
          <a:avLst/>
        </a:prstGeom>
        <a:gradFill flip="none" rotWithShape="1">
          <a:gsLst>
            <a:gs pos="0">
              <a:schemeClr val="bg2">
                <a:lumMod val="75000"/>
              </a:schemeClr>
            </a:gs>
            <a:gs pos="0">
              <a:schemeClr val="bg2">
                <a:lumMod val="75000"/>
              </a:schemeClr>
            </a:gs>
            <a:gs pos="100000">
              <a:schemeClr val="bg2">
                <a:lumMod val="75000"/>
                <a:tint val="44500"/>
                <a:satMod val="160000"/>
              </a:schemeClr>
            </a:gs>
          </a:gsLst>
          <a:lin ang="16200000" scaled="1"/>
          <a:tileRect/>
        </a:gradFill>
        <a:ln>
          <a:solidFill>
            <a:schemeClr val="bg2">
              <a:lumMod val="50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Legal</a:t>
          </a:r>
        </a:p>
      </xdr:txBody>
    </xdr:sp>
    <xdr:clientData/>
  </xdr:twoCellAnchor>
  <xdr:twoCellAnchor editAs="oneCell">
    <xdr:from>
      <xdr:col>3</xdr:col>
      <xdr:colOff>895904</xdr:colOff>
      <xdr:row>3</xdr:row>
      <xdr:rowOff>133350</xdr:rowOff>
    </xdr:from>
    <xdr:to>
      <xdr:col>3</xdr:col>
      <xdr:colOff>2191904</xdr:colOff>
      <xdr:row>5</xdr:row>
      <xdr:rowOff>148350</xdr:rowOff>
    </xdr:to>
    <xdr:sp macro="" textlink="">
      <xdr:nvSpPr>
        <xdr:cNvPr id="9" name="Abgerundetes Rechteck 8">
          <a:hlinkClick xmlns:r="http://schemas.openxmlformats.org/officeDocument/2006/relationships" r:id="rId7" tooltip="Pestle - Politisch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3715304" y="847725"/>
          <a:ext cx="1296000" cy="396000"/>
        </a:xfrm>
        <a:prstGeom prst="roundRect">
          <a:avLst/>
        </a:prstGeom>
        <a:ln>
          <a:solidFill>
            <a:schemeClr val="accent2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Political</a:t>
          </a:r>
        </a:p>
      </xdr:txBody>
    </xdr:sp>
    <xdr:clientData/>
  </xdr:twoCellAnchor>
  <xdr:twoCellAnchor>
    <xdr:from>
      <xdr:col>3</xdr:col>
      <xdr:colOff>931904</xdr:colOff>
      <xdr:row>6</xdr:row>
      <xdr:rowOff>36740</xdr:rowOff>
    </xdr:from>
    <xdr:to>
      <xdr:col>3</xdr:col>
      <xdr:colOff>2155904</xdr:colOff>
      <xdr:row>6</xdr:row>
      <xdr:rowOff>180740</xdr:rowOff>
    </xdr:to>
    <xdr:grpSp>
      <xdr:nvGrpSpPr>
        <xdr:cNvPr id="35" name="Gruppieren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GrpSpPr/>
      </xdr:nvGrpSpPr>
      <xdr:grpSpPr>
        <a:xfrm>
          <a:off x="3835124" y="1324520"/>
          <a:ext cx="1224000" cy="144000"/>
          <a:chOff x="10779915" y="1913165"/>
          <a:chExt cx="1224000" cy="144000"/>
        </a:xfrm>
      </xdr:grpSpPr>
      <xdr:sp macro="" textlink="$I$16">
        <xdr:nvSpPr>
          <xdr:cNvPr id="11" name="Abgerundetes Rechteck 10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0779915" y="1914017"/>
            <a:ext cx="325047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8F29EF-9E60-4D4D-91DE-0097530F6B33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17">
        <xdr:nvSpPr>
          <xdr:cNvPr id="12" name="Abgerundetes Rechteck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11234591" y="1914017"/>
            <a:ext cx="325047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DF93A93C-C7C3-45A2-9555-81986BC03151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18">
        <xdr:nvSpPr>
          <xdr:cNvPr id="13" name="Abgerundetes Rechteck 12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/>
        </xdr:nvSpPr>
        <xdr:spPr>
          <a:xfrm>
            <a:off x="11678868" y="1913165"/>
            <a:ext cx="325047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FBF65BD-38F7-46BA-8412-CD81F661A2BF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4</xdr:col>
      <xdr:colOff>650695</xdr:colOff>
      <xdr:row>13</xdr:row>
      <xdr:rowOff>65314</xdr:rowOff>
    </xdr:from>
    <xdr:to>
      <xdr:col>6</xdr:col>
      <xdr:colOff>607870</xdr:colOff>
      <xdr:row>13</xdr:row>
      <xdr:rowOff>209314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6251395" y="2633254"/>
          <a:ext cx="1260195" cy="144000"/>
          <a:chOff x="492917" y="1313089"/>
          <a:chExt cx="860818" cy="229961"/>
        </a:xfrm>
      </xdr:grpSpPr>
      <xdr:sp macro="" textlink="$I$30">
        <xdr:nvSpPr>
          <xdr:cNvPr id="15" name="Abgerundetes Rechteck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610C9D3-9A18-428F-A9E7-0C46188E906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31">
        <xdr:nvSpPr>
          <xdr:cNvPr id="16" name="Abgerundetes Rechteck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EA97A55-8E00-4DAB-8C41-1ED2B78FE1D7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32">
        <xdr:nvSpPr>
          <xdr:cNvPr id="17" name="Abgerundetes Rechteck 16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13869140-84FF-4691-AA10-52986F5ABE9F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</xdr:grpSp>
    <xdr:clientData/>
  </xdr:twoCellAnchor>
  <xdr:twoCellAnchor editAs="oneCell">
    <xdr:from>
      <xdr:col>4</xdr:col>
      <xdr:colOff>655300</xdr:colOff>
      <xdr:row>13</xdr:row>
      <xdr:rowOff>2113189</xdr:rowOff>
    </xdr:from>
    <xdr:to>
      <xdr:col>6</xdr:col>
      <xdr:colOff>612475</xdr:colOff>
      <xdr:row>13</xdr:row>
      <xdr:rowOff>2257189</xdr:rowOff>
    </xdr:to>
    <xdr:grpSp>
      <xdr:nvGrpSpPr>
        <xdr:cNvPr id="18" name="Gruppieren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GrpSpPr/>
      </xdr:nvGrpSpPr>
      <xdr:grpSpPr>
        <a:xfrm>
          <a:off x="6256000" y="4681129"/>
          <a:ext cx="1260195" cy="144000"/>
          <a:chOff x="492917" y="1313089"/>
          <a:chExt cx="860818" cy="229961"/>
        </a:xfrm>
      </xdr:grpSpPr>
      <xdr:sp macro="" textlink="$I$44">
        <xdr:nvSpPr>
          <xdr:cNvPr id="19" name="Abgerundetes Rechteck 18">
            <a:extLst>
              <a:ext uri="{FF2B5EF4-FFF2-40B4-BE49-F238E27FC236}">
                <a16:creationId xmlns:a16="http://schemas.microsoft.com/office/drawing/2014/main" id="{00000000-0008-0000-0400-000013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6C544E59-7E92-40F3-8CED-83B3D2A235E0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45">
        <xdr:nvSpPr>
          <xdr:cNvPr id="20" name="Abgerundetes Rechteck 19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C4D263-956E-4C0A-9D77-08DA53E74FC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46">
        <xdr:nvSpPr>
          <xdr:cNvPr id="21" name="Abgerundetes Rechteck 20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6EB6DFE-31B6-463C-A26D-810E7C88169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3</xdr:col>
      <xdr:colOff>960004</xdr:colOff>
      <xdr:row>13</xdr:row>
      <xdr:rowOff>3303814</xdr:rowOff>
    </xdr:from>
    <xdr:to>
      <xdr:col>3</xdr:col>
      <xdr:colOff>2184004</xdr:colOff>
      <xdr:row>13</xdr:row>
      <xdr:rowOff>3447814</xdr:rowOff>
    </xdr:to>
    <xdr:grpSp>
      <xdr:nvGrpSpPr>
        <xdr:cNvPr id="22" name="Gruppieren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pSpPr/>
      </xdr:nvGrpSpPr>
      <xdr:grpSpPr>
        <a:xfrm>
          <a:off x="3863224" y="5871754"/>
          <a:ext cx="1224000" cy="144000"/>
          <a:chOff x="492917" y="1313089"/>
          <a:chExt cx="860818" cy="229961"/>
        </a:xfrm>
      </xdr:grpSpPr>
      <xdr:sp macro="" textlink="$I$58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ED7C980-14DB-4B90-AC8E-FF17E8E79CEA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59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400-000018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CD38212-3649-4BFD-9ACA-EC55D8EFD12B}" type="TxLink">
              <a:rPr lang="de-CH" sz="800"/>
              <a:pPr algn="ctr"/>
              <a:t>0</a:t>
            </a:fld>
            <a:endParaRPr lang="de-CH" sz="800"/>
          </a:p>
        </xdr:txBody>
      </xdr:sp>
      <xdr:sp macro="" textlink="$I$60">
        <xdr:nvSpPr>
          <xdr:cNvPr id="25" name="Abgerundetes Rechteck 24">
            <a:extLst>
              <a:ext uri="{FF2B5EF4-FFF2-40B4-BE49-F238E27FC236}">
                <a16:creationId xmlns:a16="http://schemas.microsoft.com/office/drawing/2014/main" id="{00000000-0008-0000-0400-000019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9ACE488-2BE1-4F10-AA51-D3C55ED71A2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2</xdr:col>
      <xdr:colOff>745470</xdr:colOff>
      <xdr:row>13</xdr:row>
      <xdr:rowOff>2113189</xdr:rowOff>
    </xdr:from>
    <xdr:to>
      <xdr:col>2</xdr:col>
      <xdr:colOff>1969470</xdr:colOff>
      <xdr:row>13</xdr:row>
      <xdr:rowOff>2257189</xdr:rowOff>
    </xdr:to>
    <xdr:grpSp>
      <xdr:nvGrpSpPr>
        <xdr:cNvPr id="26" name="Gruppieren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pSpPr/>
      </xdr:nvGrpSpPr>
      <xdr:grpSpPr>
        <a:xfrm>
          <a:off x="1492230" y="4681129"/>
          <a:ext cx="1224000" cy="144000"/>
          <a:chOff x="492917" y="1313089"/>
          <a:chExt cx="860818" cy="229961"/>
        </a:xfrm>
      </xdr:grpSpPr>
      <xdr:sp macro="" textlink="$I$72">
        <xdr:nvSpPr>
          <xdr:cNvPr id="27" name="Abgerundetes Rechteck 26">
            <a:extLst>
              <a:ext uri="{FF2B5EF4-FFF2-40B4-BE49-F238E27FC236}">
                <a16:creationId xmlns:a16="http://schemas.microsoft.com/office/drawing/2014/main" id="{00000000-0008-0000-0400-00001B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530C97E4-F747-43AA-8F93-442151DD7576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2</a:t>
            </a:fld>
            <a:endParaRPr lang="de-CH" sz="800"/>
          </a:p>
        </xdr:txBody>
      </xdr:sp>
      <xdr:sp macro="" textlink="$I$73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86224A5-B5DC-4A33-B1F5-4103F5C1F590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74">
        <xdr:nvSpPr>
          <xdr:cNvPr id="29" name="Abgerundetes Rechteck 28"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CFBB495-BC5F-4A2A-A21C-0537562CDE51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2</xdr:col>
      <xdr:colOff>735787</xdr:colOff>
      <xdr:row>13</xdr:row>
      <xdr:rowOff>65314</xdr:rowOff>
    </xdr:from>
    <xdr:to>
      <xdr:col>2</xdr:col>
      <xdr:colOff>1959787</xdr:colOff>
      <xdr:row>13</xdr:row>
      <xdr:rowOff>209314</xdr:rowOff>
    </xdr:to>
    <xdr:grpSp>
      <xdr:nvGrpSpPr>
        <xdr:cNvPr id="30" name="Gruppieren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GrpSpPr/>
      </xdr:nvGrpSpPr>
      <xdr:grpSpPr>
        <a:xfrm>
          <a:off x="1482547" y="2633254"/>
          <a:ext cx="1224000" cy="144000"/>
          <a:chOff x="492917" y="1313089"/>
          <a:chExt cx="860818" cy="229961"/>
        </a:xfrm>
      </xdr:grpSpPr>
      <xdr:sp macro="" textlink="$I$86">
        <xdr:nvSpPr>
          <xdr:cNvPr id="31" name="Abgerundetes Rechteck 30">
            <a:extLst>
              <a:ext uri="{FF2B5EF4-FFF2-40B4-BE49-F238E27FC236}">
                <a16:creationId xmlns:a16="http://schemas.microsoft.com/office/drawing/2014/main" id="{00000000-0008-0000-0400-00001F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E79A6A-F34D-46C0-929D-E64521BCEFF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87">
        <xdr:nvSpPr>
          <xdr:cNvPr id="32" name="Abgerundetes Rechteck 31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DED8762-6206-4124-AB7A-FC1D99EE7E1A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88">
        <xdr:nvSpPr>
          <xdr:cNvPr id="33" name="Abgerundetes Rechteck 32"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A1757B14-B799-463A-BC8C-6C756A23599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3</xdr:col>
      <xdr:colOff>900112</xdr:colOff>
      <xdr:row>2</xdr:row>
      <xdr:rowOff>28575</xdr:rowOff>
    </xdr:from>
    <xdr:to>
      <xdr:col>3</xdr:col>
      <xdr:colOff>2187696</xdr:colOff>
      <xdr:row>4</xdr:row>
      <xdr:rowOff>9525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719512" y="5619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P</a:t>
          </a:r>
        </a:p>
      </xdr:txBody>
    </xdr:sp>
    <xdr:clientData/>
  </xdr:twoCellAnchor>
  <xdr:twoCellAnchor editAs="oneCell">
    <xdr:from>
      <xdr:col>4</xdr:col>
      <xdr:colOff>618903</xdr:colOff>
      <xdr:row>9</xdr:row>
      <xdr:rowOff>66675</xdr:rowOff>
    </xdr:from>
    <xdr:to>
      <xdr:col>6</xdr:col>
      <xdr:colOff>639662</xdr:colOff>
      <xdr:row>11</xdr:row>
      <xdr:rowOff>38100</xdr:rowOff>
    </xdr:to>
    <xdr:sp macro="" textlink="">
      <xdr:nvSpPr>
        <xdr:cNvPr id="57" name="Textfeld 56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6057678" y="19240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E</a:t>
          </a:r>
        </a:p>
      </xdr:txBody>
    </xdr:sp>
    <xdr:clientData/>
  </xdr:twoCellAnchor>
  <xdr:twoCellAnchor editAs="oneCell">
    <xdr:from>
      <xdr:col>4</xdr:col>
      <xdr:colOff>623508</xdr:colOff>
      <xdr:row>13</xdr:row>
      <xdr:rowOff>1352550</xdr:rowOff>
    </xdr:from>
    <xdr:to>
      <xdr:col>6</xdr:col>
      <xdr:colOff>644267</xdr:colOff>
      <xdr:row>13</xdr:row>
      <xdr:rowOff>1704975</xdr:rowOff>
    </xdr:to>
    <xdr:sp macro="" textlink="">
      <xdr:nvSpPr>
        <xdr:cNvPr id="58" name="Textfeld 5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/>
      </xdr:nvSpPr>
      <xdr:spPr>
        <a:xfrm>
          <a:off x="6062283" y="397192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S</a:t>
          </a:r>
        </a:p>
      </xdr:txBody>
    </xdr:sp>
    <xdr:clientData/>
  </xdr:twoCellAnchor>
  <xdr:twoCellAnchor editAs="oneCell">
    <xdr:from>
      <xdr:col>3</xdr:col>
      <xdr:colOff>928212</xdr:colOff>
      <xdr:row>13</xdr:row>
      <xdr:rowOff>2543175</xdr:rowOff>
    </xdr:from>
    <xdr:to>
      <xdr:col>3</xdr:col>
      <xdr:colOff>2215796</xdr:colOff>
      <xdr:row>13</xdr:row>
      <xdr:rowOff>2895600</xdr:rowOff>
    </xdr:to>
    <xdr:sp macro="" textlink="">
      <xdr:nvSpPr>
        <xdr:cNvPr id="59" name="Textfeld 5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 txBox="1"/>
      </xdr:nvSpPr>
      <xdr:spPr>
        <a:xfrm>
          <a:off x="3747612" y="51625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713678</xdr:colOff>
      <xdr:row>13</xdr:row>
      <xdr:rowOff>1362075</xdr:rowOff>
    </xdr:from>
    <xdr:to>
      <xdr:col>2</xdr:col>
      <xdr:colOff>2001262</xdr:colOff>
      <xdr:row>13</xdr:row>
      <xdr:rowOff>1714500</xdr:rowOff>
    </xdr:to>
    <xdr:sp macro="" textlink="">
      <xdr:nvSpPr>
        <xdr:cNvPr id="75" name="Textfeld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/>
      </xdr:nvSpPr>
      <xdr:spPr>
        <a:xfrm>
          <a:off x="1437578" y="39814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E</a:t>
          </a:r>
        </a:p>
      </xdr:txBody>
    </xdr:sp>
    <xdr:clientData/>
  </xdr:twoCellAnchor>
  <xdr:twoCellAnchor editAs="oneCell">
    <xdr:from>
      <xdr:col>2</xdr:col>
      <xdr:colOff>703995</xdr:colOff>
      <xdr:row>9</xdr:row>
      <xdr:rowOff>76200</xdr:rowOff>
    </xdr:from>
    <xdr:to>
      <xdr:col>2</xdr:col>
      <xdr:colOff>1991579</xdr:colOff>
      <xdr:row>11</xdr:row>
      <xdr:rowOff>47625</xdr:rowOff>
    </xdr:to>
    <xdr:sp macro="" textlink="">
      <xdr:nvSpPr>
        <xdr:cNvPr id="76" name="Textfeld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/>
      </xdr:nvSpPr>
      <xdr:spPr>
        <a:xfrm>
          <a:off x="1427895" y="19335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L</a:t>
          </a:r>
        </a:p>
        <a:p>
          <a:pPr algn="ctr"/>
          <a:endParaRPr lang="de-CH" sz="4000">
            <a:solidFill>
              <a:schemeClr val="accent1">
                <a:lumMod val="60000"/>
                <a:lumOff val="4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66675</xdr:colOff>
      <xdr:row>28</xdr:row>
      <xdr:rowOff>0</xdr:rowOff>
    </xdr:from>
    <xdr:to>
      <xdr:col>0</xdr:col>
      <xdr:colOff>390675</xdr:colOff>
      <xdr:row>29</xdr:row>
      <xdr:rowOff>58765</xdr:rowOff>
    </xdr:to>
    <xdr:grpSp>
      <xdr:nvGrpSpPr>
        <xdr:cNvPr id="34" name="Gruppieren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GrpSpPr/>
      </xdr:nvGrpSpPr>
      <xdr:grpSpPr>
        <a:xfrm>
          <a:off x="66675" y="10218420"/>
          <a:ext cx="324000" cy="325465"/>
          <a:chOff x="66675" y="4972050"/>
          <a:chExt cx="324000" cy="325465"/>
        </a:xfrm>
      </xdr:grpSpPr>
      <xdr:sp macro="" textlink="">
        <xdr:nvSpPr>
          <xdr:cNvPr id="88" name="Rechteck 87">
            <a:extLst>
              <a:ext uri="{FF2B5EF4-FFF2-40B4-BE49-F238E27FC236}">
                <a16:creationId xmlns:a16="http://schemas.microsoft.com/office/drawing/2014/main" id="{00000000-0008-0000-0400-00005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9" name="Pfeil nach oben 88">
            <a:extLst>
              <a:ext uri="{FF2B5EF4-FFF2-40B4-BE49-F238E27FC236}">
                <a16:creationId xmlns:a16="http://schemas.microsoft.com/office/drawing/2014/main" id="{00000000-0008-0000-0400-00005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90" name="Gruppieren 8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GrpSpPr/>
      </xdr:nvGrpSpPr>
      <xdr:grpSpPr>
        <a:xfrm>
          <a:off x="66675" y="104775"/>
          <a:ext cx="324000" cy="325465"/>
          <a:chOff x="12729063" y="1298331"/>
          <a:chExt cx="324000" cy="323267"/>
        </a:xfrm>
      </xdr:grpSpPr>
      <xdr:sp macro="" textlink="">
        <xdr:nvSpPr>
          <xdr:cNvPr id="91" name="Rechteck 90">
            <a:extLst>
              <a:ext uri="{FF2B5EF4-FFF2-40B4-BE49-F238E27FC236}">
                <a16:creationId xmlns:a16="http://schemas.microsoft.com/office/drawing/2014/main" id="{00000000-0008-0000-0400-00005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92" name="Grafik 9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400-00005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7</xdr:col>
      <xdr:colOff>247652</xdr:colOff>
      <xdr:row>2</xdr:row>
      <xdr:rowOff>47625</xdr:rowOff>
    </xdr:from>
    <xdr:to>
      <xdr:col>7</xdr:col>
      <xdr:colOff>420452</xdr:colOff>
      <xdr:row>3</xdr:row>
      <xdr:rowOff>39450</xdr:rowOff>
    </xdr:to>
    <xdr:grpSp>
      <xdr:nvGrpSpPr>
        <xdr:cNvPr id="96" name="Gruppieren 9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GrpSpPr/>
      </xdr:nvGrpSpPr>
      <xdr:grpSpPr>
        <a:xfrm>
          <a:off x="9940292" y="611505"/>
          <a:ext cx="172800" cy="167085"/>
          <a:chOff x="8105775" y="571500"/>
          <a:chExt cx="172800" cy="172800"/>
        </a:xfrm>
      </xdr:grpSpPr>
      <xdr:sp macro="" textlink="">
        <xdr:nvSpPr>
          <xdr:cNvPr id="97" name="Rechteck 96">
            <a:extLst>
              <a:ext uri="{FF2B5EF4-FFF2-40B4-BE49-F238E27FC236}">
                <a16:creationId xmlns:a16="http://schemas.microsoft.com/office/drawing/2014/main" id="{00000000-0008-0000-0400-000061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8" name="Textfeld 97">
            <a:extLst>
              <a:ext uri="{FF2B5EF4-FFF2-40B4-BE49-F238E27FC236}">
                <a16:creationId xmlns:a16="http://schemas.microsoft.com/office/drawing/2014/main" id="{00000000-0008-0000-0400-000062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42</xdr:row>
      <xdr:rowOff>0</xdr:rowOff>
    </xdr:from>
    <xdr:to>
      <xdr:col>0</xdr:col>
      <xdr:colOff>390675</xdr:colOff>
      <xdr:row>43</xdr:row>
      <xdr:rowOff>58765</xdr:rowOff>
    </xdr:to>
    <xdr:grpSp>
      <xdr:nvGrpSpPr>
        <xdr:cNvPr id="99" name="Gruppieren 9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GrpSpPr/>
      </xdr:nvGrpSpPr>
      <xdr:grpSpPr>
        <a:xfrm>
          <a:off x="66675" y="14173200"/>
          <a:ext cx="324000" cy="325465"/>
          <a:chOff x="66675" y="4972050"/>
          <a:chExt cx="324000" cy="325465"/>
        </a:xfrm>
      </xdr:grpSpPr>
      <xdr:sp macro="" textlink="">
        <xdr:nvSpPr>
          <xdr:cNvPr id="100" name="Rechteck 99">
            <a:extLst>
              <a:ext uri="{FF2B5EF4-FFF2-40B4-BE49-F238E27FC236}">
                <a16:creationId xmlns:a16="http://schemas.microsoft.com/office/drawing/2014/main" id="{00000000-0008-0000-0400-000064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1" name="Pfeil nach oben 100">
            <a:extLst>
              <a:ext uri="{FF2B5EF4-FFF2-40B4-BE49-F238E27FC236}">
                <a16:creationId xmlns:a16="http://schemas.microsoft.com/office/drawing/2014/main" id="{00000000-0008-0000-0400-000065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56</xdr:row>
      <xdr:rowOff>0</xdr:rowOff>
    </xdr:from>
    <xdr:to>
      <xdr:col>0</xdr:col>
      <xdr:colOff>390675</xdr:colOff>
      <xdr:row>57</xdr:row>
      <xdr:rowOff>58765</xdr:rowOff>
    </xdr:to>
    <xdr:grpSp>
      <xdr:nvGrpSpPr>
        <xdr:cNvPr id="102" name="Gruppieren 10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GrpSpPr/>
      </xdr:nvGrpSpPr>
      <xdr:grpSpPr>
        <a:xfrm>
          <a:off x="66675" y="18127980"/>
          <a:ext cx="324000" cy="325465"/>
          <a:chOff x="66675" y="4972050"/>
          <a:chExt cx="324000" cy="325465"/>
        </a:xfrm>
      </xdr:grpSpPr>
      <xdr:sp macro="" textlink="">
        <xdr:nvSpPr>
          <xdr:cNvPr id="103" name="Rechteck 102">
            <a:extLst>
              <a:ext uri="{FF2B5EF4-FFF2-40B4-BE49-F238E27FC236}">
                <a16:creationId xmlns:a16="http://schemas.microsoft.com/office/drawing/2014/main" id="{00000000-0008-0000-0400-00006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4" name="Pfeil nach oben 103">
            <a:extLst>
              <a:ext uri="{FF2B5EF4-FFF2-40B4-BE49-F238E27FC236}">
                <a16:creationId xmlns:a16="http://schemas.microsoft.com/office/drawing/2014/main" id="{00000000-0008-0000-0400-00006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70</xdr:row>
      <xdr:rowOff>0</xdr:rowOff>
    </xdr:from>
    <xdr:to>
      <xdr:col>0</xdr:col>
      <xdr:colOff>390675</xdr:colOff>
      <xdr:row>71</xdr:row>
      <xdr:rowOff>58765</xdr:rowOff>
    </xdr:to>
    <xdr:grpSp>
      <xdr:nvGrpSpPr>
        <xdr:cNvPr id="105" name="Gruppieren 10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GrpSpPr/>
      </xdr:nvGrpSpPr>
      <xdr:grpSpPr>
        <a:xfrm>
          <a:off x="66675" y="22082760"/>
          <a:ext cx="324000" cy="325465"/>
          <a:chOff x="66675" y="4972050"/>
          <a:chExt cx="324000" cy="325465"/>
        </a:xfrm>
      </xdr:grpSpPr>
      <xdr:sp macro="" textlink="">
        <xdr:nvSpPr>
          <xdr:cNvPr id="106" name="Rechteck 105">
            <a:extLst>
              <a:ext uri="{FF2B5EF4-FFF2-40B4-BE49-F238E27FC236}">
                <a16:creationId xmlns:a16="http://schemas.microsoft.com/office/drawing/2014/main" id="{00000000-0008-0000-0400-00006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7" name="Pfeil nach oben 106">
            <a:extLst>
              <a:ext uri="{FF2B5EF4-FFF2-40B4-BE49-F238E27FC236}">
                <a16:creationId xmlns:a16="http://schemas.microsoft.com/office/drawing/2014/main" id="{00000000-0008-0000-0400-00006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84</xdr:row>
      <xdr:rowOff>0</xdr:rowOff>
    </xdr:from>
    <xdr:to>
      <xdr:col>0</xdr:col>
      <xdr:colOff>390675</xdr:colOff>
      <xdr:row>85</xdr:row>
      <xdr:rowOff>58765</xdr:rowOff>
    </xdr:to>
    <xdr:grpSp>
      <xdr:nvGrpSpPr>
        <xdr:cNvPr id="108" name="Gruppieren 10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GrpSpPr/>
      </xdr:nvGrpSpPr>
      <xdr:grpSpPr>
        <a:xfrm>
          <a:off x="66675" y="26037540"/>
          <a:ext cx="324000" cy="325465"/>
          <a:chOff x="66675" y="4972050"/>
          <a:chExt cx="324000" cy="325465"/>
        </a:xfrm>
      </xdr:grpSpPr>
      <xdr:sp macro="" textlink="">
        <xdr:nvSpPr>
          <xdr:cNvPr id="109" name="Rechteck 108">
            <a:extLst>
              <a:ext uri="{FF2B5EF4-FFF2-40B4-BE49-F238E27FC236}">
                <a16:creationId xmlns:a16="http://schemas.microsoft.com/office/drawing/2014/main" id="{00000000-0008-0000-0400-00006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0" name="Pfeil nach oben 109">
            <a:extLst>
              <a:ext uri="{FF2B5EF4-FFF2-40B4-BE49-F238E27FC236}">
                <a16:creationId xmlns:a16="http://schemas.microsoft.com/office/drawing/2014/main" id="{00000000-0008-0000-0400-00006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0</xdr:colOff>
      <xdr:row>95</xdr:row>
      <xdr:rowOff>0</xdr:rowOff>
    </xdr:from>
    <xdr:to>
      <xdr:col>0</xdr:col>
      <xdr:colOff>324000</xdr:colOff>
      <xdr:row>96</xdr:row>
      <xdr:rowOff>30190</xdr:rowOff>
    </xdr:to>
    <xdr:grpSp>
      <xdr:nvGrpSpPr>
        <xdr:cNvPr id="111" name="Gruppieren 1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GrpSpPr/>
      </xdr:nvGrpSpPr>
      <xdr:grpSpPr>
        <a:xfrm>
          <a:off x="0" y="29329380"/>
          <a:ext cx="324000" cy="327370"/>
          <a:chOff x="66675" y="4972050"/>
          <a:chExt cx="324000" cy="325465"/>
        </a:xfrm>
      </xdr:grpSpPr>
      <xdr:sp macro="" textlink="">
        <xdr:nvSpPr>
          <xdr:cNvPr id="112" name="Rechteck 111">
            <a:extLst>
              <a:ext uri="{FF2B5EF4-FFF2-40B4-BE49-F238E27FC236}">
                <a16:creationId xmlns:a16="http://schemas.microsoft.com/office/drawing/2014/main" id="{00000000-0008-0000-0400-000070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3" name="Pfeil nach oben 112">
            <a:extLst>
              <a:ext uri="{FF2B5EF4-FFF2-40B4-BE49-F238E27FC236}">
                <a16:creationId xmlns:a16="http://schemas.microsoft.com/office/drawing/2014/main" id="{00000000-0008-0000-0400-000071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981066</xdr:colOff>
          <xdr:row>0</xdr:row>
          <xdr:rowOff>14289</xdr:rowOff>
        </xdr:from>
        <xdr:to>
          <xdr:col>7</xdr:col>
          <xdr:colOff>457198</xdr:colOff>
          <xdr:row>0</xdr:row>
          <xdr:rowOff>547689</xdr:rowOff>
        </xdr:to>
        <xdr:pic>
          <xdr:nvPicPr>
            <xdr:cNvPr id="63" name="Grafik 45">
              <a:extLst>
                <a:ext uri="{FF2B5EF4-FFF2-40B4-BE49-F238E27FC236}">
                  <a16:creationId xmlns:a16="http://schemas.microsoft.com/office/drawing/2014/main" id="{00000000-0008-0000-0400-00003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3915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72441" y="14289"/>
              <a:ext cx="2381257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514350</xdr:rowOff>
    </xdr:from>
    <xdr:to>
      <xdr:col>3</xdr:col>
      <xdr:colOff>266700</xdr:colOff>
      <xdr:row>4</xdr:row>
      <xdr:rowOff>157162</xdr:rowOff>
    </xdr:to>
    <xdr:sp macro="" textlink="">
      <xdr:nvSpPr>
        <xdr:cNvPr id="18" name="Rechteck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spect="1"/>
        </xdr:cNvSpPr>
      </xdr:nvSpPr>
      <xdr:spPr bwMode="auto">
        <a:xfrm>
          <a:off x="485775" y="5143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="horz" wrap="square" lIns="0" tIns="0" rIns="0" bIns="0" numCol="1" rtlCol="0" anchor="ctr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charset="0"/>
            </a:rPr>
            <a:t>S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6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9525</xdr:colOff>
      <xdr:row>0</xdr:row>
      <xdr:rowOff>514350</xdr:rowOff>
    </xdr:from>
    <xdr:to>
      <xdr:col>7</xdr:col>
      <xdr:colOff>238125</xdr:colOff>
      <xdr:row>4</xdr:row>
      <xdr:rowOff>157162</xdr:rowOff>
    </xdr:to>
    <xdr:sp macro="" textlink="">
      <xdr:nvSpPr>
        <xdr:cNvPr id="31" name="Rechteck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Aspect="1"/>
        </xdr:cNvSpPr>
      </xdr:nvSpPr>
      <xdr:spPr bwMode="auto">
        <a:xfrm>
          <a:off x="6515100" y="5143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="horz" wrap="square" lIns="0" tIns="0" rIns="0" bIns="0" numCol="1" rtlCol="0" anchor="ctr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6">
                  <a:lumMod val="60000"/>
                  <a:lumOff val="40000"/>
                </a:schemeClr>
              </a:solidFill>
              <a:effectLst/>
              <a:latin typeface="Arial" charset="0"/>
            </a:rPr>
            <a:t>W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6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0</xdr:colOff>
      <xdr:row>23</xdr:row>
      <xdr:rowOff>9525</xdr:rowOff>
    </xdr:from>
    <xdr:to>
      <xdr:col>3</xdr:col>
      <xdr:colOff>247650</xdr:colOff>
      <xdr:row>23</xdr:row>
      <xdr:rowOff>676275</xdr:rowOff>
    </xdr:to>
    <xdr:sp macro="" textlink="">
      <xdr:nvSpPr>
        <xdr:cNvPr id="32" name="Rechteck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Aspect="1"/>
        </xdr:cNvSpPr>
      </xdr:nvSpPr>
      <xdr:spPr bwMode="auto">
        <a:xfrm>
          <a:off x="466725" y="60388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lIns="0" tIns="0" rIns="0" bIns="0" numCol="1" rtlCol="0" anchor="b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latin typeface="Arial" charset="0"/>
            </a:rPr>
            <a:t>O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2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9525</xdr:colOff>
      <xdr:row>23</xdr:row>
      <xdr:rowOff>9525</xdr:rowOff>
    </xdr:from>
    <xdr:to>
      <xdr:col>7</xdr:col>
      <xdr:colOff>238125</xdr:colOff>
      <xdr:row>23</xdr:row>
      <xdr:rowOff>676275</xdr:rowOff>
    </xdr:to>
    <xdr:sp macro="" textlink="">
      <xdr:nvSpPr>
        <xdr:cNvPr id="34" name="Rechteck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Aspect="1"/>
        </xdr:cNvSpPr>
      </xdr:nvSpPr>
      <xdr:spPr bwMode="auto">
        <a:xfrm>
          <a:off x="4505325" y="60388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lIns="0" tIns="0" rIns="0" bIns="0" numCol="1" rtlCol="0" anchor="b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4">
                  <a:lumMod val="60000"/>
                  <a:lumOff val="40000"/>
                </a:schemeClr>
              </a:solidFill>
              <a:effectLst/>
              <a:latin typeface="Arial" charset="0"/>
            </a:rPr>
            <a:t>T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4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114300</xdr:colOff>
      <xdr:row>2</xdr:row>
      <xdr:rowOff>47625</xdr:rowOff>
    </xdr:from>
    <xdr:to>
      <xdr:col>7</xdr:col>
      <xdr:colOff>287100</xdr:colOff>
      <xdr:row>2</xdr:row>
      <xdr:rowOff>220425</xdr:rowOff>
    </xdr:to>
    <xdr:grpSp>
      <xdr:nvGrpSpPr>
        <xdr:cNvPr id="27" name="Gruppieren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GrpSpPr/>
      </xdr:nvGrpSpPr>
      <xdr:grpSpPr>
        <a:xfrm>
          <a:off x="10607040" y="611505"/>
          <a:ext cx="172800" cy="172800"/>
          <a:chOff x="8105775" y="571500"/>
          <a:chExt cx="172800" cy="172800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0500-00001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Textfeld 29">
            <a:extLst>
              <a:ext uri="{FF2B5EF4-FFF2-40B4-BE49-F238E27FC236}">
                <a16:creationId xmlns:a16="http://schemas.microsoft.com/office/drawing/2014/main" id="{00000000-0008-0000-0500-00001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33" name="Gruppieren 3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500-00002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6" name="Grafik 3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22</xdr:row>
      <xdr:rowOff>0</xdr:rowOff>
    </xdr:from>
    <xdr:to>
      <xdr:col>0</xdr:col>
      <xdr:colOff>381150</xdr:colOff>
      <xdr:row>23</xdr:row>
      <xdr:rowOff>1615</xdr:rowOff>
    </xdr:to>
    <xdr:grpSp>
      <xdr:nvGrpSpPr>
        <xdr:cNvPr id="37" name="Gruppieren 3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GrpSpPr/>
      </xdr:nvGrpSpPr>
      <xdr:grpSpPr>
        <a:xfrm>
          <a:off x="57150" y="6697980"/>
          <a:ext cx="324000" cy="321655"/>
          <a:chOff x="66675" y="4972050"/>
          <a:chExt cx="324000" cy="325465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0500-00002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Pfeil nach oben 38">
            <a:extLst>
              <a:ext uri="{FF2B5EF4-FFF2-40B4-BE49-F238E27FC236}">
                <a16:creationId xmlns:a16="http://schemas.microsoft.com/office/drawing/2014/main" id="{00000000-0008-0000-0500-00002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41</xdr:row>
      <xdr:rowOff>0</xdr:rowOff>
    </xdr:from>
    <xdr:to>
      <xdr:col>0</xdr:col>
      <xdr:colOff>381150</xdr:colOff>
      <xdr:row>42</xdr:row>
      <xdr:rowOff>1615</xdr:rowOff>
    </xdr:to>
    <xdr:grpSp>
      <xdr:nvGrpSpPr>
        <xdr:cNvPr id="40" name="Gruppieren 3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GrpSpPr/>
      </xdr:nvGrpSpPr>
      <xdr:grpSpPr>
        <a:xfrm>
          <a:off x="57150" y="13197840"/>
          <a:ext cx="324000" cy="321655"/>
          <a:chOff x="66675" y="497205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0500-00002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2" name="Pfeil nach oben 41">
            <a:extLst>
              <a:ext uri="{FF2B5EF4-FFF2-40B4-BE49-F238E27FC236}">
                <a16:creationId xmlns:a16="http://schemas.microsoft.com/office/drawing/2014/main" id="{00000000-0008-0000-0500-00002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10</xdr:col>
      <xdr:colOff>247649</xdr:colOff>
      <xdr:row>65</xdr:row>
      <xdr:rowOff>95250</xdr:rowOff>
    </xdr:from>
    <xdr:to>
      <xdr:col>26</xdr:col>
      <xdr:colOff>190500</xdr:colOff>
      <xdr:row>75</xdr:row>
      <xdr:rowOff>166688</xdr:rowOff>
    </xdr:to>
    <xdr:graphicFrame macro="">
      <xdr:nvGraphicFramePr>
        <xdr:cNvPr id="26" name="Diagramm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14285</xdr:colOff>
          <xdr:row>3</xdr:row>
          <xdr:rowOff>33343</xdr:rowOff>
        </xdr:from>
        <xdr:to>
          <xdr:col>4</xdr:col>
          <xdr:colOff>2062160</xdr:colOff>
          <xdr:row>23</xdr:row>
          <xdr:rowOff>266700</xdr:rowOff>
        </xdr:to>
        <xdr:pic>
          <xdr:nvPicPr>
            <xdr:cNvPr id="44" name="Grafik 43">
              <a:extLst>
                <a:ext uri="{FF2B5EF4-FFF2-40B4-BE49-F238E27FC236}">
                  <a16:creationId xmlns:a16="http://schemas.microsoft.com/office/drawing/2014/main" id="{00000000-0008-0000-0500-00002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K$65:$AA$77" spid="_x0000_s676907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 rot="5400000">
              <a:off x="2226469" y="3107534"/>
              <a:ext cx="6500807" cy="20478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10</xdr:col>
      <xdr:colOff>66674</xdr:colOff>
      <xdr:row>78</xdr:row>
      <xdr:rowOff>76200</xdr:rowOff>
    </xdr:from>
    <xdr:to>
      <xdr:col>26</xdr:col>
      <xdr:colOff>200025</xdr:colOff>
      <xdr:row>89</xdr:row>
      <xdr:rowOff>157163</xdr:rowOff>
    </xdr:to>
    <xdr:graphicFrame macro="">
      <xdr:nvGraphicFramePr>
        <xdr:cNvPr id="45" name="Diagramm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33338</xdr:colOff>
          <xdr:row>23</xdr:row>
          <xdr:rowOff>414348</xdr:rowOff>
        </xdr:from>
        <xdr:to>
          <xdr:col>4</xdr:col>
          <xdr:colOff>2033588</xdr:colOff>
          <xdr:row>43</xdr:row>
          <xdr:rowOff>38103</xdr:rowOff>
        </xdr:to>
        <xdr:pic>
          <xdr:nvPicPr>
            <xdr:cNvPr id="46" name="Grafik 45">
              <a:extLst>
                <a:ext uri="{FF2B5EF4-FFF2-40B4-BE49-F238E27FC236}">
                  <a16:creationId xmlns:a16="http://schemas.microsoft.com/office/drawing/2014/main" id="{00000000-0008-0000-0500-00002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K$79:$AA$90" spid="_x0000_s676908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 rot="5400000">
              <a:off x="2278860" y="9722651"/>
              <a:ext cx="6386505" cy="20002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4</xdr:col>
      <xdr:colOff>1047750</xdr:colOff>
      <xdr:row>4</xdr:row>
      <xdr:rowOff>222250</xdr:rowOff>
    </xdr:from>
    <xdr:to>
      <xdr:col>4</xdr:col>
      <xdr:colOff>1047750</xdr:colOff>
      <xdr:row>23</xdr:row>
      <xdr:rowOff>157300</xdr:rowOff>
    </xdr:to>
    <xdr:cxnSp macro="">
      <xdr:nvCxnSpPr>
        <xdr:cNvPr id="4" name="Gerade Verbindung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>
          <a:off x="5486400" y="1260475"/>
          <a:ext cx="0" cy="601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1019175</xdr:colOff>
      <xdr:row>24</xdr:row>
      <xdr:rowOff>22225</xdr:rowOff>
    </xdr:from>
    <xdr:to>
      <xdr:col>4</xdr:col>
      <xdr:colOff>1019175</xdr:colOff>
      <xdr:row>42</xdr:row>
      <xdr:rowOff>132925</xdr:rowOff>
    </xdr:to>
    <xdr:cxnSp macro="">
      <xdr:nvCxnSpPr>
        <xdr:cNvPr id="47" name="Gerade Verbindung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CxnSpPr/>
      </xdr:nvCxnSpPr>
      <xdr:spPr>
        <a:xfrm>
          <a:off x="5457825" y="7880350"/>
          <a:ext cx="0" cy="594000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76201</xdr:colOff>
      <xdr:row>2</xdr:row>
      <xdr:rowOff>104775</xdr:rowOff>
    </xdr:from>
    <xdr:to>
      <xdr:col>0</xdr:col>
      <xdr:colOff>400201</xdr:colOff>
      <xdr:row>3</xdr:row>
      <xdr:rowOff>162075</xdr:rowOff>
    </xdr:to>
    <xdr:grpSp>
      <xdr:nvGrpSpPr>
        <xdr:cNvPr id="24" name="Gruppieren 2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GrpSpPr>
          <a:grpSpLocks noChangeAspect="1"/>
        </xdr:cNvGrpSpPr>
      </xdr:nvGrpSpPr>
      <xdr:grpSpPr>
        <a:xfrm>
          <a:off x="76201" y="668655"/>
          <a:ext cx="324000" cy="324000"/>
          <a:chOff x="12020550" y="2171700"/>
          <a:chExt cx="324000" cy="325465"/>
        </a:xfrm>
      </xdr:grpSpPr>
      <xdr:sp macro="" textlink="">
        <xdr:nvSpPr>
          <xdr:cNvPr id="25" name="Rechteck 24">
            <a:extLst>
              <a:ext uri="{FF2B5EF4-FFF2-40B4-BE49-F238E27FC236}">
                <a16:creationId xmlns:a16="http://schemas.microsoft.com/office/drawing/2014/main" id="{00000000-0008-0000-0500-000019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9" name="Pfeil nach rechts 28">
            <a:extLst>
              <a:ext uri="{FF2B5EF4-FFF2-40B4-BE49-F238E27FC236}">
                <a16:creationId xmlns:a16="http://schemas.microsoft.com/office/drawing/2014/main" id="{00000000-0008-0000-0500-00001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0</xdr:colOff>
      <xdr:row>3</xdr:row>
      <xdr:rowOff>142876</xdr:rowOff>
    </xdr:from>
    <xdr:ext cx="676275" cy="156518"/>
    <xdr:sp macro="" textlink="">
      <xdr:nvSpPr>
        <xdr:cNvPr id="43" name="Textfeld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0" y="990601"/>
          <a:ext cx="676275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spAutoFit/>
        </a:bodyPr>
        <a:lstStyle/>
        <a:p>
          <a:pPr marL="0" indent="0" algn="ctr"/>
          <a:r>
            <a:rPr lang="en-US" sz="10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Benchmark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1581142</xdr:colOff>
          <xdr:row>0</xdr:row>
          <xdr:rowOff>0</xdr:rowOff>
        </xdr:from>
        <xdr:to>
          <xdr:col>7</xdr:col>
          <xdr:colOff>314318</xdr:colOff>
          <xdr:row>0</xdr:row>
          <xdr:rowOff>533400</xdr:rowOff>
        </xdr:to>
        <xdr:pic>
          <xdr:nvPicPr>
            <xdr:cNvPr id="48" name="Grafik 45">
              <a:extLst>
                <a:ext uri="{FF2B5EF4-FFF2-40B4-BE49-F238E27FC236}">
                  <a16:creationId xmlns:a16="http://schemas.microsoft.com/office/drawing/2014/main" id="{00000000-0008-0000-0500-00003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76909"/>
                </a:ext>
              </a:extLst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863005" y="0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76199</xdr:colOff>
          <xdr:row>2</xdr:row>
          <xdr:rowOff>578836</xdr:rowOff>
        </xdr:from>
        <xdr:to>
          <xdr:col>7</xdr:col>
          <xdr:colOff>2419349</xdr:colOff>
          <xdr:row>34</xdr:row>
          <xdr:rowOff>133353</xdr:rowOff>
        </xdr:to>
        <xdr:pic>
          <xdr:nvPicPr>
            <xdr:cNvPr id="2" name="Grafik 1">
              <a:extLst>
                <a:ext uri="{FF2B5EF4-FFF2-40B4-BE49-F238E27FC236}">
                  <a16:creationId xmlns:a16="http://schemas.microsoft.com/office/drawing/2014/main" id="{00000000-0008-0000-06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49:$I$60" spid="_x0000_s690187"/>
                </a:ext>
              </a:extLst>
            </xdr:cNvPicPr>
          </xdr:nvPicPr>
          <xdr:blipFill>
            <a:blip xmlns:r="http://schemas.openxmlformats.org/officeDocument/2006/relationships" r:embed="rId1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 rot="5400000">
              <a:off x="1494328" y="3951782"/>
              <a:ext cx="7622192" cy="23431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76197</xdr:colOff>
      <xdr:row>49</xdr:row>
      <xdr:rowOff>14287</xdr:rowOff>
    </xdr:from>
    <xdr:to>
      <xdr:col>9</xdr:col>
      <xdr:colOff>0</xdr:colOff>
      <xdr:row>58</xdr:row>
      <xdr:rowOff>133350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xdr:twoCellAnchor>
    <xdr:from>
      <xdr:col>3</xdr:col>
      <xdr:colOff>285750</xdr:colOff>
      <xdr:row>53</xdr:row>
      <xdr:rowOff>95250</xdr:rowOff>
    </xdr:from>
    <xdr:to>
      <xdr:col>9</xdr:col>
      <xdr:colOff>0</xdr:colOff>
      <xdr:row>53</xdr:row>
      <xdr:rowOff>95250</xdr:rowOff>
    </xdr:to>
    <xdr:cxnSp macro="">
      <xdr:nvCxnSpPr>
        <xdr:cNvPr id="8" name="Gerade Verbindung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CxnSpPr/>
      </xdr:nvCxnSpPr>
      <xdr:spPr>
        <a:xfrm>
          <a:off x="857250" y="15116175"/>
          <a:ext cx="8924925" cy="0"/>
        </a:xfrm>
        <a:prstGeom prst="line">
          <a:avLst/>
        </a:prstGeom>
        <a:ln w="158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3034665</xdr:colOff>
      <xdr:row>1</xdr:row>
      <xdr:rowOff>57149</xdr:rowOff>
    </xdr:from>
    <xdr:to>
      <xdr:col>8</xdr:col>
      <xdr:colOff>3214665</xdr:colOff>
      <xdr:row>2</xdr:row>
      <xdr:rowOff>39029</xdr:rowOff>
    </xdr:to>
    <xdr:grpSp>
      <xdr:nvGrpSpPr>
        <xdr:cNvPr id="18" name="Gruppieren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GrpSpPr>
          <a:grpSpLocks noChangeAspect="1"/>
        </xdr:cNvGrpSpPr>
      </xdr:nvGrpSpPr>
      <xdr:grpSpPr>
        <a:xfrm>
          <a:off x="9816465" y="613409"/>
          <a:ext cx="180000" cy="180000"/>
          <a:chOff x="8105775" y="571500"/>
          <a:chExt cx="172800" cy="172800"/>
        </a:xfrm>
      </xdr:grpSpPr>
      <xdr:sp macro="" textlink="">
        <xdr:nvSpPr>
          <xdr:cNvPr id="19" name="Rechteck 18">
            <a:extLst>
              <a:ext uri="{FF2B5EF4-FFF2-40B4-BE49-F238E27FC236}">
                <a16:creationId xmlns:a16="http://schemas.microsoft.com/office/drawing/2014/main" id="{00000000-0008-0000-0600-00001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" name="Textfeld 19">
            <a:extLst>
              <a:ext uri="{FF2B5EF4-FFF2-40B4-BE49-F238E27FC236}">
                <a16:creationId xmlns:a16="http://schemas.microsoft.com/office/drawing/2014/main" id="{00000000-0008-0000-0600-00001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oneCellAnchor>
    <xdr:from>
      <xdr:col>0</xdr:col>
      <xdr:colOff>390525</xdr:colOff>
      <xdr:row>34</xdr:row>
      <xdr:rowOff>0</xdr:rowOff>
    </xdr:from>
    <xdr:ext cx="644857" cy="233205"/>
    <xdr:sp macro="" textlink="' '!A117">
      <xdr:nvSpPr>
        <xdr:cNvPr id="6" name="Textfeld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390525" y="8539163"/>
          <a:ext cx="644857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B451C332-FCCE-4A8E-9514-B7D53A5429FF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/>
            <a:t>différence:</a:t>
          </a:fld>
          <a:endParaRPr lang="de-CH" sz="900"/>
        </a:p>
      </xdr:txBody>
    </xdr:sp>
    <xdr:clientData/>
  </xdr:oneCellAnchor>
  <xdr:twoCellAnchor>
    <xdr:from>
      <xdr:col>3</xdr:col>
      <xdr:colOff>156349</xdr:colOff>
      <xdr:row>34</xdr:row>
      <xdr:rowOff>53077</xdr:rowOff>
    </xdr:from>
    <xdr:to>
      <xdr:col>3</xdr:col>
      <xdr:colOff>264349</xdr:colOff>
      <xdr:row>34</xdr:row>
      <xdr:rowOff>161077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Aspect="1"/>
        </xdr:cNvSpPr>
      </xdr:nvSpPr>
      <xdr:spPr>
        <a:xfrm>
          <a:off x="1051699" y="8854177"/>
          <a:ext cx="108000" cy="108000"/>
        </a:xfrm>
        <a:prstGeom prst="ellipse">
          <a:avLst/>
        </a:prstGeom>
        <a:solidFill>
          <a:srgbClr val="339966"/>
        </a:solidFill>
        <a:ln>
          <a:solidFill>
            <a:srgbClr val="006600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3</xdr:col>
      <xdr:colOff>219075</xdr:colOff>
      <xdr:row>34</xdr:row>
      <xdr:rowOff>0</xdr:rowOff>
    </xdr:from>
    <xdr:to>
      <xdr:col>3</xdr:col>
      <xdr:colOff>545768</xdr:colOff>
      <xdr:row>34</xdr:row>
      <xdr:rowOff>233205</xdr:rowOff>
    </xdr:to>
    <xdr:sp macro="" textlink="' '!A118">
      <xdr:nvSpPr>
        <xdr:cNvPr id="15" name="Textfeld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1114425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968238DA-1D4F-4AB8-A29B-75E4A16C86EB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/>
            <a:t>≥ 1</a:t>
          </a:fld>
          <a:endParaRPr lang="de-CH" sz="900"/>
        </a:p>
      </xdr:txBody>
    </xdr:sp>
    <xdr:clientData/>
  </xdr:twoCellAnchor>
  <xdr:twoCellAnchor>
    <xdr:from>
      <xdr:col>3</xdr:col>
      <xdr:colOff>1110706</xdr:colOff>
      <xdr:row>34</xdr:row>
      <xdr:rowOff>41585</xdr:rowOff>
    </xdr:from>
    <xdr:to>
      <xdr:col>3</xdr:col>
      <xdr:colOff>1218706</xdr:colOff>
      <xdr:row>34</xdr:row>
      <xdr:rowOff>149585</xdr:rowOff>
    </xdr:to>
    <xdr:sp macro="" textlink="">
      <xdr:nvSpPr>
        <xdr:cNvPr id="4" name="Rau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Aspect="1"/>
        </xdr:cNvSpPr>
      </xdr:nvSpPr>
      <xdr:spPr>
        <a:xfrm>
          <a:off x="2006056" y="8842685"/>
          <a:ext cx="108000" cy="108000"/>
        </a:xfrm>
        <a:prstGeom prst="diamond">
          <a:avLst/>
        </a:prstGeom>
        <a:solidFill>
          <a:srgbClr val="CC0000">
            <a:tint val="66000"/>
            <a:satMod val="160000"/>
          </a:srgbClr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3</xdr:col>
      <xdr:colOff>1171575</xdr:colOff>
      <xdr:row>34</xdr:row>
      <xdr:rowOff>0</xdr:rowOff>
    </xdr:from>
    <xdr:to>
      <xdr:col>3</xdr:col>
      <xdr:colOff>1498268</xdr:colOff>
      <xdr:row>34</xdr:row>
      <xdr:rowOff>233205</xdr:rowOff>
    </xdr:to>
    <xdr:sp macro="" textlink="' '!A119">
      <xdr:nvSpPr>
        <xdr:cNvPr id="21" name="Textfeld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2066925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B50692DF-1967-4806-B8C1-AD671E990074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/>
            <a:t>≤ 1</a:t>
          </a:fld>
          <a:endParaRPr lang="de-CH" sz="900"/>
        </a:p>
      </xdr:txBody>
    </xdr:sp>
    <xdr:clientData/>
  </xdr:twoCellAnchor>
  <xdr:twoCellAnchor>
    <xdr:from>
      <xdr:col>3</xdr:col>
      <xdr:colOff>629672</xdr:colOff>
      <xdr:row>34</xdr:row>
      <xdr:rowOff>33918</xdr:rowOff>
    </xdr:from>
    <xdr:to>
      <xdr:col>3</xdr:col>
      <xdr:colOff>754952</xdr:colOff>
      <xdr:row>34</xdr:row>
      <xdr:rowOff>141918</xdr:rowOff>
    </xdr:to>
    <xdr:sp macro="" textlink="">
      <xdr:nvSpPr>
        <xdr:cNvPr id="3" name="Gleichschenkliges Dreieck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spect="1"/>
        </xdr:cNvSpPr>
      </xdr:nvSpPr>
      <xdr:spPr>
        <a:xfrm>
          <a:off x="1525022" y="8835018"/>
          <a:ext cx="125280" cy="108000"/>
        </a:xfrm>
        <a:prstGeom prst="triangle">
          <a:avLst/>
        </a:prstGeom>
        <a:gradFill flip="none" rotWithShape="1">
          <a:gsLst>
            <a:gs pos="0">
              <a:srgbClr val="FFCC00">
                <a:tint val="66000"/>
                <a:satMod val="160000"/>
              </a:srgbClr>
            </a:gs>
            <a:gs pos="50000">
              <a:srgbClr val="FFCC00">
                <a:tint val="44500"/>
                <a:satMod val="160000"/>
              </a:srgbClr>
            </a:gs>
            <a:gs pos="100000">
              <a:srgbClr val="FFCC00">
                <a:tint val="23500"/>
                <a:satMod val="160000"/>
              </a:srgbClr>
            </a:gs>
          </a:gsLst>
          <a:lin ang="0" scaled="1"/>
          <a:tileRect/>
        </a:gradFill>
        <a:ln>
          <a:solidFill>
            <a:schemeClr val="accent6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3</xdr:col>
      <xdr:colOff>700110</xdr:colOff>
      <xdr:row>34</xdr:row>
      <xdr:rowOff>0</xdr:rowOff>
    </xdr:from>
    <xdr:to>
      <xdr:col>3</xdr:col>
      <xdr:colOff>1026803</xdr:colOff>
      <xdr:row>34</xdr:row>
      <xdr:rowOff>233205</xdr:rowOff>
    </xdr:to>
    <xdr:sp macro="" textlink="' '!A120">
      <xdr:nvSpPr>
        <xdr:cNvPr id="22" name="Textfeld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1595460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7E67748C-1753-40AA-9DFB-5545FA486CFC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/>
            <a:t>= 0</a:t>
          </a:fld>
          <a:endParaRPr lang="de-CH" sz="900"/>
        </a:p>
      </xdr:txBody>
    </xdr:sp>
    <xdr:clientData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23" name="Gruppieren 2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GrpSpPr/>
      </xdr:nvGrpSpPr>
      <xdr:grpSpPr>
        <a:xfrm>
          <a:off x="76200" y="114300"/>
          <a:ext cx="324000" cy="325465"/>
          <a:chOff x="9191625" y="3009900"/>
          <a:chExt cx="324000" cy="325465"/>
        </a:xfrm>
      </xdr:grpSpPr>
      <xdr:sp macro="" textlink="">
        <xdr:nvSpPr>
          <xdr:cNvPr id="24" name="Rechteck 23">
            <a:extLst>
              <a:ext uri="{FF2B5EF4-FFF2-40B4-BE49-F238E27FC236}">
                <a16:creationId xmlns:a16="http://schemas.microsoft.com/office/drawing/2014/main" id="{00000000-0008-0000-0600-00001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" name="Pfeil nach links 24">
            <a:extLst>
              <a:ext uri="{FF2B5EF4-FFF2-40B4-BE49-F238E27FC236}">
                <a16:creationId xmlns:a16="http://schemas.microsoft.com/office/drawing/2014/main" id="{00000000-0008-0000-0600-00001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990600</xdr:colOff>
          <xdr:row>0</xdr:row>
          <xdr:rowOff>14289</xdr:rowOff>
        </xdr:from>
        <xdr:to>
          <xdr:col>8</xdr:col>
          <xdr:colOff>3376613</xdr:colOff>
          <xdr:row>0</xdr:row>
          <xdr:rowOff>547689</xdr:rowOff>
        </xdr:to>
        <xdr:pic>
          <xdr:nvPicPr>
            <xdr:cNvPr id="26" name="Grafik 45"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90188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053388" y="14289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114300</xdr:rowOff>
    </xdr:from>
    <xdr:to>
      <xdr:col>1</xdr:col>
      <xdr:colOff>19200</xdr:colOff>
      <xdr:row>0</xdr:row>
      <xdr:rowOff>439765</xdr:rowOff>
    </xdr:to>
    <xdr:grpSp>
      <xdr:nvGrpSpPr>
        <xdr:cNvPr id="3" name="Gruppier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/>
      </xdr:nvGrpSpPr>
      <xdr:grpSpPr>
        <a:xfrm>
          <a:off x="95250" y="114300"/>
          <a:ext cx="335430" cy="325465"/>
          <a:chOff x="12729063" y="1298331"/>
          <a:chExt cx="324000" cy="323267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" name="Grafik 4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84</xdr:row>
      <xdr:rowOff>285750</xdr:rowOff>
    </xdr:from>
    <xdr:to>
      <xdr:col>0</xdr:col>
      <xdr:colOff>381150</xdr:colOff>
      <xdr:row>86</xdr:row>
      <xdr:rowOff>128656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pSpPr/>
      </xdr:nvGrpSpPr>
      <xdr:grpSpPr>
        <a:xfrm>
          <a:off x="57150" y="16889730"/>
          <a:ext cx="324000" cy="330586"/>
          <a:chOff x="66675" y="497205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700-00000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Pfeil nach oben 7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20</xdr:col>
      <xdr:colOff>123825</xdr:colOff>
      <xdr:row>2</xdr:row>
      <xdr:rowOff>47625</xdr:rowOff>
    </xdr:from>
    <xdr:to>
      <xdr:col>20</xdr:col>
      <xdr:colOff>296625</xdr:colOff>
      <xdr:row>2</xdr:row>
      <xdr:rowOff>220425</xdr:rowOff>
    </xdr:to>
    <xdr:grpSp>
      <xdr:nvGrpSpPr>
        <xdr:cNvPr id="27" name="Gruppieren 2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GrpSpPr/>
      </xdr:nvGrpSpPr>
      <xdr:grpSpPr>
        <a:xfrm>
          <a:off x="15440025" y="611505"/>
          <a:ext cx="172800" cy="172800"/>
          <a:chOff x="8105775" y="571500"/>
          <a:chExt cx="172800" cy="172800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0700-00001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9" name="Textfeld 28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13</xdr:col>
      <xdr:colOff>2400300</xdr:colOff>
      <xdr:row>4</xdr:row>
      <xdr:rowOff>30480</xdr:rowOff>
    </xdr:from>
    <xdr:to>
      <xdr:col>13</xdr:col>
      <xdr:colOff>2577108</xdr:colOff>
      <xdr:row>4</xdr:row>
      <xdr:rowOff>195240</xdr:rowOff>
    </xdr:to>
    <xdr:grpSp>
      <xdr:nvGrpSpPr>
        <xdr:cNvPr id="14" name="Gruppieren 4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GrpSpPr>
          <a:grpSpLocks noChangeAspect="1"/>
        </xdr:cNvGrpSpPr>
      </xdr:nvGrpSpPr>
      <xdr:grpSpPr>
        <a:xfrm>
          <a:off x="9700260" y="922020"/>
          <a:ext cx="176808" cy="164760"/>
          <a:chOff x="12020550" y="2171700"/>
          <a:chExt cx="324000" cy="325465"/>
        </a:xfrm>
      </xdr:grpSpPr>
      <xdr:sp macro="" textlink="">
        <xdr:nvSpPr>
          <xdr:cNvPr id="15" name="Rechteck 4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rechts 42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142876</xdr:colOff>
          <xdr:row>0</xdr:row>
          <xdr:rowOff>9526</xdr:rowOff>
        </xdr:from>
        <xdr:to>
          <xdr:col>20</xdr:col>
          <xdr:colOff>314327</xdr:colOff>
          <xdr:row>0</xdr:row>
          <xdr:rowOff>542926</xdr:rowOff>
        </xdr:to>
        <xdr:pic>
          <xdr:nvPicPr>
            <xdr:cNvPr id="17" name="Grafik 45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91203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13882689" y="9526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396418</xdr:colOff>
      <xdr:row>26</xdr:row>
      <xdr:rowOff>183124</xdr:rowOff>
    </xdr:from>
    <xdr:to>
      <xdr:col>4</xdr:col>
      <xdr:colOff>639462</xdr:colOff>
      <xdr:row>40</xdr:row>
      <xdr:rowOff>138595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825043" y="6745849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398447</xdr:colOff>
      <xdr:row>40</xdr:row>
      <xdr:rowOff>183932</xdr:rowOff>
    </xdr:from>
    <xdr:to>
      <xdr:col>4</xdr:col>
      <xdr:colOff>641491</xdr:colOff>
      <xdr:row>54</xdr:row>
      <xdr:rowOff>139403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>
          <a:off x="827072" y="10937657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683306</xdr:colOff>
      <xdr:row>26</xdr:row>
      <xdr:rowOff>183124</xdr:rowOff>
    </xdr:from>
    <xdr:to>
      <xdr:col>7</xdr:col>
      <xdr:colOff>250075</xdr:colOff>
      <xdr:row>40</xdr:row>
      <xdr:rowOff>138595</xdr:rowOff>
    </xdr:to>
    <xdr:sp macro="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>
          <a:off x="3759881" y="6745849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691691</xdr:colOff>
      <xdr:row>40</xdr:row>
      <xdr:rowOff>183932</xdr:rowOff>
    </xdr:from>
    <xdr:to>
      <xdr:col>7</xdr:col>
      <xdr:colOff>258460</xdr:colOff>
      <xdr:row>54</xdr:row>
      <xdr:rowOff>139403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/>
      </xdr:nvSpPr>
      <xdr:spPr>
        <a:xfrm>
          <a:off x="3768266" y="10937657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545144</xdr:colOff>
      <xdr:row>34</xdr:row>
      <xdr:rowOff>106988</xdr:rowOff>
    </xdr:from>
    <xdr:to>
      <xdr:col>1</xdr:col>
      <xdr:colOff>278330</xdr:colOff>
      <xdr:row>47</xdr:row>
      <xdr:rowOff>114300</xdr:rowOff>
    </xdr:to>
    <xdr:sp macro="" textlink="' '!A135">
      <xdr:nvSpPr>
        <xdr:cNvPr id="5" name="Textfeld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 rot="16200000">
          <a:off x="-525369" y="10350076"/>
          <a:ext cx="248381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369D7966-6EA9-4474-8CE0-200550A49223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Besoins en communication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1167373</xdr:colOff>
      <xdr:row>56</xdr:row>
      <xdr:rowOff>83425</xdr:rowOff>
    </xdr:from>
    <xdr:to>
      <xdr:col>6</xdr:col>
      <xdr:colOff>1574655</xdr:colOff>
      <xdr:row>59</xdr:row>
      <xdr:rowOff>131564</xdr:rowOff>
    </xdr:to>
    <xdr:sp macro="" textlink="' '!A134">
      <xdr:nvSpPr>
        <xdr:cNvPr id="6" name="Textfeld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1595998" y="12361150"/>
          <a:ext cx="4417307" cy="4386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C5B187C-0D25-46E2-9365-38F40309E2AD}" type="TxLink">
            <a:rPr lang="de-CH" sz="1600" b="1">
              <a:solidFill>
                <a:schemeClr val="tx2"/>
              </a:solidFill>
            </a:rPr>
            <a:pPr algn="ctr"/>
            <a:t>Intensité de la communication</a:t>
          </a:fld>
          <a:endParaRPr lang="de-CH" sz="1600" b="1">
            <a:solidFill>
              <a:schemeClr val="tx2"/>
            </a:solidFill>
          </a:endParaRPr>
        </a:p>
      </xdr:txBody>
    </xdr:sp>
    <xdr:clientData/>
  </xdr:twoCellAnchor>
  <xdr:oneCellAnchor>
    <xdr:from>
      <xdr:col>1</xdr:col>
      <xdr:colOff>98314</xdr:colOff>
      <xdr:row>27</xdr:row>
      <xdr:rowOff>51030</xdr:rowOff>
    </xdr:from>
    <xdr:ext cx="311496" cy="566886"/>
    <xdr:sp macro="" textlink="' '!A55">
      <xdr:nvSpPr>
        <xdr:cNvPr id="7" name="Textfeld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 rot="16200000">
          <a:off x="623082" y="8013038"/>
          <a:ext cx="56688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EEC4C712-FF3A-4828-B9F2-0435389211B4}" type="TxLink">
            <a:rPr lang="de-CH" sz="1400" b="0"/>
            <a:pPr/>
            <a:t>grand</a:t>
          </a:fld>
          <a:endParaRPr lang="de-CH" sz="1400" b="0"/>
        </a:p>
      </xdr:txBody>
    </xdr:sp>
    <xdr:clientData/>
  </xdr:oneCellAnchor>
  <xdr:oneCellAnchor>
    <xdr:from>
      <xdr:col>1</xdr:col>
      <xdr:colOff>98314</xdr:colOff>
      <xdr:row>53</xdr:row>
      <xdr:rowOff>36928</xdr:rowOff>
    </xdr:from>
    <xdr:ext cx="311496" cy="532390"/>
    <xdr:sp macro="" textlink="' '!A58">
      <xdr:nvSpPr>
        <xdr:cNvPr id="8" name="Textfeld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 rot="16200000">
          <a:off x="612707" y="12628935"/>
          <a:ext cx="53239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FB39D6CF-C433-41AF-9ADE-4D7B34FEE0AF}" type="TxLink">
            <a:rPr lang="de-CH" sz="1400" b="0"/>
            <a:pPr/>
            <a:t>petit</a:t>
          </a:fld>
          <a:endParaRPr lang="de-CH" sz="1400" b="0"/>
        </a:p>
      </xdr:txBody>
    </xdr:sp>
    <xdr:clientData/>
  </xdr:oneCellAnchor>
  <xdr:oneCellAnchor>
    <xdr:from>
      <xdr:col>6</xdr:col>
      <xdr:colOff>1500039</xdr:colOff>
      <xdr:row>56</xdr:row>
      <xdr:rowOff>105040</xdr:rowOff>
    </xdr:from>
    <xdr:ext cx="566886" cy="311496"/>
    <xdr:sp macro="" textlink="' '!A55">
      <xdr:nvSpPr>
        <xdr:cNvPr id="9" name="Textfeld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6767364" y="13187628"/>
          <a:ext cx="56688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4C601CCF-1B4E-4433-BA64-02CB83F402F2}" type="TxLink">
            <a:rPr lang="de-CH" sz="1400" b="0"/>
            <a:pPr/>
            <a:t>grand</a:t>
          </a:fld>
          <a:endParaRPr lang="de-CH" sz="1400" b="0"/>
        </a:p>
      </xdr:txBody>
    </xdr:sp>
    <xdr:clientData/>
  </xdr:oneCellAnchor>
  <xdr:oneCellAnchor>
    <xdr:from>
      <xdr:col>2</xdr:col>
      <xdr:colOff>336769</xdr:colOff>
      <xdr:row>56</xdr:row>
      <xdr:rowOff>105040</xdr:rowOff>
    </xdr:from>
    <xdr:ext cx="532390" cy="311496"/>
    <xdr:sp macro="" textlink="' '!A58">
      <xdr:nvSpPr>
        <xdr:cNvPr id="10" name="Textfeld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/>
      </xdr:nvSpPr>
      <xdr:spPr>
        <a:xfrm>
          <a:off x="1274029" y="13135240"/>
          <a:ext cx="53239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2407B67-C073-4D24-B4F6-88D75A75FDF2}" type="TxLink">
            <a:rPr lang="de-CH" sz="1400" b="0"/>
            <a:pPr/>
            <a:t>petit</a:t>
          </a:fld>
          <a:endParaRPr lang="de-CH" sz="1400" b="0"/>
        </a:p>
      </xdr:txBody>
    </xdr:sp>
    <xdr:clientData/>
  </xdr:oneCellAnchor>
  <xdr:twoCellAnchor editAs="oneCell">
    <xdr:from>
      <xdr:col>8</xdr:col>
      <xdr:colOff>295275</xdr:colOff>
      <xdr:row>1</xdr:row>
      <xdr:rowOff>57150</xdr:rowOff>
    </xdr:from>
    <xdr:to>
      <xdr:col>9</xdr:col>
      <xdr:colOff>1350</xdr:colOff>
      <xdr:row>1</xdr:row>
      <xdr:rowOff>229950</xdr:rowOff>
    </xdr:to>
    <xdr:grpSp>
      <xdr:nvGrpSpPr>
        <xdr:cNvPr id="31" name="Gruppieren 3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GrpSpPr/>
      </xdr:nvGrpSpPr>
      <xdr:grpSpPr>
        <a:xfrm>
          <a:off x="9683115" y="613410"/>
          <a:ext cx="186135" cy="172800"/>
          <a:chOff x="8105775" y="571500"/>
          <a:chExt cx="172800" cy="172800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0800-000020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Textfeld 32">
            <a:extLst>
              <a:ext uri="{FF2B5EF4-FFF2-40B4-BE49-F238E27FC236}">
                <a16:creationId xmlns:a16="http://schemas.microsoft.com/office/drawing/2014/main" id="{00000000-0008-0000-0800-000021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76201</xdr:colOff>
      <xdr:row>0</xdr:row>
      <xdr:rowOff>114300</xdr:rowOff>
    </xdr:from>
    <xdr:to>
      <xdr:col>0</xdr:col>
      <xdr:colOff>400201</xdr:colOff>
      <xdr:row>0</xdr:row>
      <xdr:rowOff>439765</xdr:rowOff>
    </xdr:to>
    <xdr:grpSp>
      <xdr:nvGrpSpPr>
        <xdr:cNvPr id="34" name="Gruppieren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GrpSpPr/>
      </xdr:nvGrpSpPr>
      <xdr:grpSpPr>
        <a:xfrm>
          <a:off x="76201" y="114300"/>
          <a:ext cx="324000" cy="325465"/>
          <a:chOff x="12729063" y="1298331"/>
          <a:chExt cx="324000" cy="323267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800-00002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6" name="Grafik 3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8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76201</xdr:colOff>
      <xdr:row>3</xdr:row>
      <xdr:rowOff>0</xdr:rowOff>
    </xdr:from>
    <xdr:to>
      <xdr:col>0</xdr:col>
      <xdr:colOff>400201</xdr:colOff>
      <xdr:row>3</xdr:row>
      <xdr:rowOff>325465</xdr:rowOff>
    </xdr:to>
    <xdr:grpSp>
      <xdr:nvGrpSpPr>
        <xdr:cNvPr id="40" name="Gruppieren 3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GrpSpPr/>
      </xdr:nvGrpSpPr>
      <xdr:grpSpPr>
        <a:xfrm>
          <a:off x="76201" y="952500"/>
          <a:ext cx="324000" cy="325465"/>
          <a:chOff x="12382500" y="215265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0800-000029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2" name="Grafik 41">
            <a:extLst>
              <a:ext uri="{FF2B5EF4-FFF2-40B4-BE49-F238E27FC236}">
                <a16:creationId xmlns:a16="http://schemas.microsoft.com/office/drawing/2014/main" id="{00000000-0008-0000-0800-00002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57150</xdr:colOff>
      <xdr:row>56</xdr:row>
      <xdr:rowOff>57150</xdr:rowOff>
    </xdr:from>
    <xdr:to>
      <xdr:col>0</xdr:col>
      <xdr:colOff>381150</xdr:colOff>
      <xdr:row>58</xdr:row>
      <xdr:rowOff>1615</xdr:rowOff>
    </xdr:to>
    <xdr:grpSp>
      <xdr:nvGrpSpPr>
        <xdr:cNvPr id="43" name="Gruppieren 4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GrpSpPr/>
      </xdr:nvGrpSpPr>
      <xdr:grpSpPr>
        <a:xfrm>
          <a:off x="57150" y="13232130"/>
          <a:ext cx="324000" cy="310225"/>
          <a:chOff x="66675" y="497205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0800-00002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5" name="Pfeil nach oben 44">
            <a:extLst>
              <a:ext uri="{FF2B5EF4-FFF2-40B4-BE49-F238E27FC236}">
                <a16:creationId xmlns:a16="http://schemas.microsoft.com/office/drawing/2014/main" id="{00000000-0008-0000-0800-00002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76201</xdr:colOff>
      <xdr:row>4</xdr:row>
      <xdr:rowOff>142875</xdr:rowOff>
    </xdr:from>
    <xdr:to>
      <xdr:col>0</xdr:col>
      <xdr:colOff>400201</xdr:colOff>
      <xdr:row>5</xdr:row>
      <xdr:rowOff>171600</xdr:rowOff>
    </xdr:to>
    <xdr:grpSp>
      <xdr:nvGrpSpPr>
        <xdr:cNvPr id="25" name="Gruppieren 2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GrpSpPr>
          <a:grpSpLocks noChangeAspect="1"/>
        </xdr:cNvGrpSpPr>
      </xdr:nvGrpSpPr>
      <xdr:grpSpPr>
        <a:xfrm>
          <a:off x="76201" y="1522095"/>
          <a:ext cx="324000" cy="325905"/>
          <a:chOff x="12020550" y="217170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0800-00001A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rechts 26">
            <a:extLst>
              <a:ext uri="{FF2B5EF4-FFF2-40B4-BE49-F238E27FC236}">
                <a16:creationId xmlns:a16="http://schemas.microsoft.com/office/drawing/2014/main" id="{00000000-0008-0000-0800-00001B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0</xdr:colOff>
      <xdr:row>5</xdr:row>
      <xdr:rowOff>152401</xdr:rowOff>
    </xdr:from>
    <xdr:ext cx="514351" cy="156518"/>
    <xdr:sp macro="" textlink="' '!A144">
      <xdr:nvSpPr>
        <xdr:cNvPr id="28" name="Textfeld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/>
      </xdr:nvSpPr>
      <xdr:spPr>
        <a:xfrm>
          <a:off x="0" y="1809751"/>
          <a:ext cx="514351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marL="0" indent="0" algn="ctr"/>
          <a:fld id="{CAB5B95C-CC66-4C66-8511-5181EB1ED3F4}" type="TxLink">
            <a:rPr lang="en-US" sz="10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Canaux</a:t>
          </a:fld>
          <a:endParaRPr lang="en-US" sz="10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 editAs="oneCell">
    <xdr:from>
      <xdr:col>0</xdr:col>
      <xdr:colOff>76201</xdr:colOff>
      <xdr:row>6</xdr:row>
      <xdr:rowOff>104775</xdr:rowOff>
    </xdr:from>
    <xdr:to>
      <xdr:col>0</xdr:col>
      <xdr:colOff>400201</xdr:colOff>
      <xdr:row>7</xdr:row>
      <xdr:rowOff>133500</xdr:rowOff>
    </xdr:to>
    <xdr:grpSp>
      <xdr:nvGrpSpPr>
        <xdr:cNvPr id="29" name="Gruppieren 2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GrpSpPr>
          <a:grpSpLocks noChangeAspect="1"/>
        </xdr:cNvGrpSpPr>
      </xdr:nvGrpSpPr>
      <xdr:grpSpPr>
        <a:xfrm>
          <a:off x="76201" y="2078355"/>
          <a:ext cx="324000" cy="325905"/>
          <a:chOff x="12020550" y="2171700"/>
          <a:chExt cx="324000" cy="325465"/>
        </a:xfrm>
      </xdr:grpSpPr>
      <xdr:sp macro="" textlink="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0800-00001E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Pfeil nach rechts 36">
            <a:extLst>
              <a:ext uri="{FF2B5EF4-FFF2-40B4-BE49-F238E27FC236}">
                <a16:creationId xmlns:a16="http://schemas.microsoft.com/office/drawing/2014/main" id="{00000000-0008-0000-0800-000025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0</xdr:colOff>
      <xdr:row>7</xdr:row>
      <xdr:rowOff>114301</xdr:rowOff>
    </xdr:from>
    <xdr:ext cx="514351" cy="156518"/>
    <xdr:sp macro="" textlink="">
      <xdr:nvSpPr>
        <xdr:cNvPr id="38" name="Textfeld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/>
      </xdr:nvSpPr>
      <xdr:spPr>
        <a:xfrm>
          <a:off x="0" y="2362201"/>
          <a:ext cx="514351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marL="0" indent="0" algn="ctr"/>
          <a:r>
            <a:rPr lang="en-US" sz="10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Empathy</a:t>
          </a:r>
        </a:p>
      </xdr:txBody>
    </xdr:sp>
    <xdr:clientData/>
  </xdr:oneCellAnchor>
  <xdr:twoCellAnchor editAs="oneCell">
    <xdr:from>
      <xdr:col>0</xdr:col>
      <xdr:colOff>409575</xdr:colOff>
      <xdr:row>26</xdr:row>
      <xdr:rowOff>9525</xdr:rowOff>
    </xdr:from>
    <xdr:to>
      <xdr:col>7</xdr:col>
      <xdr:colOff>561975</xdr:colOff>
      <xdr:row>56</xdr:row>
      <xdr:rowOff>171450</xdr:rowOff>
    </xdr:to>
    <xdr:graphicFrame macro="">
      <xdr:nvGraphicFramePr>
        <xdr:cNvPr id="16" name="Diagramm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514335</xdr:colOff>
          <xdr:row>0</xdr:row>
          <xdr:rowOff>9526</xdr:rowOff>
        </xdr:from>
        <xdr:to>
          <xdr:col>8</xdr:col>
          <xdr:colOff>495285</xdr:colOff>
          <xdr:row>0</xdr:row>
          <xdr:rowOff>542926</xdr:rowOff>
        </xdr:to>
        <xdr:pic>
          <xdr:nvPicPr>
            <xdr:cNvPr id="39" name="Grafik 45">
              <a:extLst>
                <a:ext uri="{FF2B5EF4-FFF2-40B4-BE49-F238E27FC236}">
                  <a16:creationId xmlns:a16="http://schemas.microsoft.com/office/drawing/2014/main" id="{00000000-0008-0000-0800-00002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15048"/>
                </a:ext>
              </a:extLst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7886685" y="9526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2210418</xdr:colOff>
      <xdr:row>6</xdr:row>
      <xdr:rowOff>0</xdr:rowOff>
    </xdr:from>
    <xdr:to>
      <xdr:col>3</xdr:col>
      <xdr:colOff>2276072</xdr:colOff>
      <xdr:row>6</xdr:row>
      <xdr:rowOff>400050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5029818" y="1504950"/>
          <a:ext cx="65654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7</xdr:row>
      <xdr:rowOff>9524</xdr:rowOff>
    </xdr:from>
    <xdr:to>
      <xdr:col>3</xdr:col>
      <xdr:colOff>2276072</xdr:colOff>
      <xdr:row>8</xdr:row>
      <xdr:rowOff>0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5029818" y="1924049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8</xdr:row>
      <xdr:rowOff>9524</xdr:rowOff>
    </xdr:from>
    <xdr:to>
      <xdr:col>3</xdr:col>
      <xdr:colOff>2276072</xdr:colOff>
      <xdr:row>9</xdr:row>
      <xdr:rowOff>0</xdr:rowOff>
    </xdr:to>
    <xdr:sp macro="" textlink="">
      <xdr:nvSpPr>
        <xdr:cNvPr id="15" name="Rechteck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5029818" y="2333624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9</xdr:row>
      <xdr:rowOff>9524</xdr:rowOff>
    </xdr:from>
    <xdr:to>
      <xdr:col>3</xdr:col>
      <xdr:colOff>2276072</xdr:colOff>
      <xdr:row>9</xdr:row>
      <xdr:rowOff>408214</xdr:rowOff>
    </xdr:to>
    <xdr:sp macro="" textlink="">
      <xdr:nvSpPr>
        <xdr:cNvPr id="16" name="Rechteck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5029818" y="2743199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10</xdr:row>
      <xdr:rowOff>9524</xdr:rowOff>
    </xdr:from>
    <xdr:to>
      <xdr:col>3</xdr:col>
      <xdr:colOff>2276072</xdr:colOff>
      <xdr:row>11</xdr:row>
      <xdr:rowOff>540</xdr:rowOff>
    </xdr:to>
    <xdr:sp macro="" textlink="">
      <xdr:nvSpPr>
        <xdr:cNvPr id="17" name="Rechteck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5029818" y="3152774"/>
          <a:ext cx="65654" cy="40059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11</xdr:row>
      <xdr:rowOff>9524</xdr:rowOff>
    </xdr:from>
    <xdr:to>
      <xdr:col>3</xdr:col>
      <xdr:colOff>2276072</xdr:colOff>
      <xdr:row>11</xdr:row>
      <xdr:rowOff>410765</xdr:rowOff>
    </xdr:to>
    <xdr:sp macro="" textlink="">
      <xdr:nvSpPr>
        <xdr:cNvPr id="18" name="Rechteck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5029818" y="3562349"/>
          <a:ext cx="65654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12</xdr:row>
      <xdr:rowOff>4082</xdr:rowOff>
    </xdr:from>
    <xdr:to>
      <xdr:col>3</xdr:col>
      <xdr:colOff>2276072</xdr:colOff>
      <xdr:row>12</xdr:row>
      <xdr:rowOff>402772</xdr:rowOff>
    </xdr:to>
    <xdr:sp macro="" textlink="">
      <xdr:nvSpPr>
        <xdr:cNvPr id="19" name="Rechteck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/>
      </xdr:nvSpPr>
      <xdr:spPr>
        <a:xfrm>
          <a:off x="5029818" y="396648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13</xdr:row>
      <xdr:rowOff>4082</xdr:rowOff>
    </xdr:from>
    <xdr:to>
      <xdr:col>3</xdr:col>
      <xdr:colOff>2276072</xdr:colOff>
      <xdr:row>13</xdr:row>
      <xdr:rowOff>402772</xdr:rowOff>
    </xdr:to>
    <xdr:sp macro="" textlink="">
      <xdr:nvSpPr>
        <xdr:cNvPr id="20" name="Rechteck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/>
      </xdr:nvSpPr>
      <xdr:spPr>
        <a:xfrm>
          <a:off x="5029818" y="437605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14</xdr:row>
      <xdr:rowOff>4081</xdr:rowOff>
    </xdr:from>
    <xdr:to>
      <xdr:col>3</xdr:col>
      <xdr:colOff>2276072</xdr:colOff>
      <xdr:row>14</xdr:row>
      <xdr:rowOff>402771</xdr:rowOff>
    </xdr:to>
    <xdr:sp macro="" textlink="">
      <xdr:nvSpPr>
        <xdr:cNvPr id="21" name="Rechteck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>
        <a:xfrm>
          <a:off x="5029818" y="4785631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15</xdr:row>
      <xdr:rowOff>4082</xdr:rowOff>
    </xdr:from>
    <xdr:to>
      <xdr:col>3</xdr:col>
      <xdr:colOff>2276072</xdr:colOff>
      <xdr:row>15</xdr:row>
      <xdr:rowOff>402772</xdr:rowOff>
    </xdr:to>
    <xdr:sp macro="" textlink="">
      <xdr:nvSpPr>
        <xdr:cNvPr id="22" name="Rechteck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/>
      </xdr:nvSpPr>
      <xdr:spPr>
        <a:xfrm>
          <a:off x="5029818" y="519520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16</xdr:row>
      <xdr:rowOff>4082</xdr:rowOff>
    </xdr:from>
    <xdr:to>
      <xdr:col>3</xdr:col>
      <xdr:colOff>2276072</xdr:colOff>
      <xdr:row>16</xdr:row>
      <xdr:rowOff>402772</xdr:rowOff>
    </xdr:to>
    <xdr:sp macro="" textlink="">
      <xdr:nvSpPr>
        <xdr:cNvPr id="23" name="Rechteck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/>
      </xdr:nvSpPr>
      <xdr:spPr>
        <a:xfrm>
          <a:off x="5029818" y="560478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0</xdr:rowOff>
    </xdr:from>
    <xdr:to>
      <xdr:col>3</xdr:col>
      <xdr:colOff>2276689</xdr:colOff>
      <xdr:row>17</xdr:row>
      <xdr:rowOff>400050</xdr:rowOff>
    </xdr:to>
    <xdr:sp macro="" textlink="">
      <xdr:nvSpPr>
        <xdr:cNvPr id="24" name="Rechteck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/>
      </xdr:nvSpPr>
      <xdr:spPr>
        <a:xfrm>
          <a:off x="5028054" y="6010275"/>
          <a:ext cx="68035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409574</xdr:rowOff>
    </xdr:from>
    <xdr:to>
      <xdr:col>3</xdr:col>
      <xdr:colOff>2276689</xdr:colOff>
      <xdr:row>18</xdr:row>
      <xdr:rowOff>400050</xdr:rowOff>
    </xdr:to>
    <xdr:sp macro="" textlink="">
      <xdr:nvSpPr>
        <xdr:cNvPr id="25" name="Rechteck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/>
      </xdr:nvSpPr>
      <xdr:spPr>
        <a:xfrm>
          <a:off x="5028054" y="641984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18</xdr:row>
      <xdr:rowOff>409574</xdr:rowOff>
    </xdr:from>
    <xdr:to>
      <xdr:col>3</xdr:col>
      <xdr:colOff>2276689</xdr:colOff>
      <xdr:row>19</xdr:row>
      <xdr:rowOff>400050</xdr:rowOff>
    </xdr:to>
    <xdr:sp macro="" textlink="">
      <xdr:nvSpPr>
        <xdr:cNvPr id="26" name="Rechteck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/>
      </xdr:nvSpPr>
      <xdr:spPr>
        <a:xfrm>
          <a:off x="5028054" y="68294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19</xdr:row>
      <xdr:rowOff>409574</xdr:rowOff>
    </xdr:from>
    <xdr:to>
      <xdr:col>3</xdr:col>
      <xdr:colOff>2276689</xdr:colOff>
      <xdr:row>20</xdr:row>
      <xdr:rowOff>398689</xdr:rowOff>
    </xdr:to>
    <xdr:sp macro="" textlink="">
      <xdr:nvSpPr>
        <xdr:cNvPr id="27" name="Rechteck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/>
      </xdr:nvSpPr>
      <xdr:spPr>
        <a:xfrm>
          <a:off x="5028054" y="7238999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20</xdr:row>
      <xdr:rowOff>409574</xdr:rowOff>
    </xdr:from>
    <xdr:to>
      <xdr:col>3</xdr:col>
      <xdr:colOff>2276689</xdr:colOff>
      <xdr:row>21</xdr:row>
      <xdr:rowOff>401781</xdr:rowOff>
    </xdr:to>
    <xdr:sp macro="" textlink="">
      <xdr:nvSpPr>
        <xdr:cNvPr id="28" name="Rechteck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/>
      </xdr:nvSpPr>
      <xdr:spPr>
        <a:xfrm>
          <a:off x="5028054" y="7648574"/>
          <a:ext cx="68035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21</xdr:row>
      <xdr:rowOff>409574</xdr:rowOff>
    </xdr:from>
    <xdr:to>
      <xdr:col>3</xdr:col>
      <xdr:colOff>2276689</xdr:colOff>
      <xdr:row>22</xdr:row>
      <xdr:rowOff>400050</xdr:rowOff>
    </xdr:to>
    <xdr:sp macro="" textlink="">
      <xdr:nvSpPr>
        <xdr:cNvPr id="29" name="Rechteck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/>
      </xdr:nvSpPr>
      <xdr:spPr>
        <a:xfrm>
          <a:off x="5028054" y="805814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22</xdr:row>
      <xdr:rowOff>404132</xdr:rowOff>
    </xdr:from>
    <xdr:to>
      <xdr:col>3</xdr:col>
      <xdr:colOff>2276689</xdr:colOff>
      <xdr:row>23</xdr:row>
      <xdr:rowOff>393247</xdr:rowOff>
    </xdr:to>
    <xdr:sp macro="" textlink="">
      <xdr:nvSpPr>
        <xdr:cNvPr id="30" name="Rechteck 29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/>
      </xdr:nvSpPr>
      <xdr:spPr>
        <a:xfrm>
          <a:off x="5028054" y="8462282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23</xdr:row>
      <xdr:rowOff>404132</xdr:rowOff>
    </xdr:from>
    <xdr:to>
      <xdr:col>3</xdr:col>
      <xdr:colOff>2276689</xdr:colOff>
      <xdr:row>24</xdr:row>
      <xdr:rowOff>393247</xdr:rowOff>
    </xdr:to>
    <xdr:sp macro="" textlink="">
      <xdr:nvSpPr>
        <xdr:cNvPr id="31" name="Rechteck 30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/>
      </xdr:nvSpPr>
      <xdr:spPr>
        <a:xfrm>
          <a:off x="5028054" y="8871857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24</xdr:row>
      <xdr:rowOff>404131</xdr:rowOff>
    </xdr:from>
    <xdr:to>
      <xdr:col>3</xdr:col>
      <xdr:colOff>2276689</xdr:colOff>
      <xdr:row>25</xdr:row>
      <xdr:rowOff>393246</xdr:rowOff>
    </xdr:to>
    <xdr:sp macro="" textlink="">
      <xdr:nvSpPr>
        <xdr:cNvPr id="32" name="Rechteck 3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/>
      </xdr:nvSpPr>
      <xdr:spPr>
        <a:xfrm>
          <a:off x="5028054" y="9281431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6</xdr:row>
      <xdr:rowOff>0</xdr:rowOff>
    </xdr:from>
    <xdr:to>
      <xdr:col>3</xdr:col>
      <xdr:colOff>67418</xdr:colOff>
      <xdr:row>6</xdr:row>
      <xdr:rowOff>401240</xdr:rowOff>
    </xdr:to>
    <xdr:sp macro="" textlink="">
      <xdr:nvSpPr>
        <xdr:cNvPr id="33" name="Rechteck 32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/>
      </xdr:nvSpPr>
      <xdr:spPr>
        <a:xfrm>
          <a:off x="2821164" y="1504950"/>
          <a:ext cx="65654" cy="40124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7</xdr:row>
      <xdr:rowOff>1189</xdr:rowOff>
    </xdr:from>
    <xdr:to>
      <xdr:col>3</xdr:col>
      <xdr:colOff>67418</xdr:colOff>
      <xdr:row>7</xdr:row>
      <xdr:rowOff>401241</xdr:rowOff>
    </xdr:to>
    <xdr:sp macro="" textlink="">
      <xdr:nvSpPr>
        <xdr:cNvPr id="34" name="Rechteck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/>
      </xdr:nvSpPr>
      <xdr:spPr>
        <a:xfrm>
          <a:off x="2821164" y="1915714"/>
          <a:ext cx="65654" cy="40005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1190</xdr:rowOff>
    </xdr:from>
    <xdr:to>
      <xdr:col>3</xdr:col>
      <xdr:colOff>67418</xdr:colOff>
      <xdr:row>8</xdr:row>
      <xdr:rowOff>401241</xdr:rowOff>
    </xdr:to>
    <xdr:sp macro="" textlink="">
      <xdr:nvSpPr>
        <xdr:cNvPr id="35" name="Rechteck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/>
      </xdr:nvSpPr>
      <xdr:spPr>
        <a:xfrm>
          <a:off x="2821164" y="2325290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410765</xdr:rowOff>
    </xdr:from>
    <xdr:to>
      <xdr:col>3</xdr:col>
      <xdr:colOff>67418</xdr:colOff>
      <xdr:row>9</xdr:row>
      <xdr:rowOff>398689</xdr:rowOff>
    </xdr:to>
    <xdr:sp macro="" textlink="">
      <xdr:nvSpPr>
        <xdr:cNvPr id="36" name="Rechteck 35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/>
      </xdr:nvSpPr>
      <xdr:spPr>
        <a:xfrm>
          <a:off x="2821164" y="2734865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9</xdr:row>
      <xdr:rowOff>410764</xdr:rowOff>
    </xdr:from>
    <xdr:to>
      <xdr:col>3</xdr:col>
      <xdr:colOff>67418</xdr:colOff>
      <xdr:row>10</xdr:row>
      <xdr:rowOff>401781</xdr:rowOff>
    </xdr:to>
    <xdr:sp macro="" textlink="">
      <xdr:nvSpPr>
        <xdr:cNvPr id="37" name="Rechteck 36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/>
      </xdr:nvSpPr>
      <xdr:spPr>
        <a:xfrm>
          <a:off x="2821164" y="3144439"/>
          <a:ext cx="65654" cy="40059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10</xdr:row>
      <xdr:rowOff>410765</xdr:rowOff>
    </xdr:from>
    <xdr:to>
      <xdr:col>3</xdr:col>
      <xdr:colOff>67418</xdr:colOff>
      <xdr:row>11</xdr:row>
      <xdr:rowOff>401240</xdr:rowOff>
    </xdr:to>
    <xdr:sp macro="" textlink="">
      <xdr:nvSpPr>
        <xdr:cNvPr id="38" name="Rechteck 3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/>
      </xdr:nvSpPr>
      <xdr:spPr>
        <a:xfrm>
          <a:off x="2821164" y="3554015"/>
          <a:ext cx="65654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11</xdr:row>
      <xdr:rowOff>405322</xdr:rowOff>
    </xdr:from>
    <xdr:to>
      <xdr:col>3</xdr:col>
      <xdr:colOff>67418</xdr:colOff>
      <xdr:row>12</xdr:row>
      <xdr:rowOff>393247</xdr:rowOff>
    </xdr:to>
    <xdr:sp macro="" textlink="">
      <xdr:nvSpPr>
        <xdr:cNvPr id="39" name="Rechteck 38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/>
      </xdr:nvSpPr>
      <xdr:spPr>
        <a:xfrm>
          <a:off x="2821164" y="3958147"/>
          <a:ext cx="65654" cy="39750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12</xdr:row>
      <xdr:rowOff>405323</xdr:rowOff>
    </xdr:from>
    <xdr:to>
      <xdr:col>3</xdr:col>
      <xdr:colOff>67418</xdr:colOff>
      <xdr:row>13</xdr:row>
      <xdr:rowOff>393247</xdr:rowOff>
    </xdr:to>
    <xdr:sp macro="" textlink="">
      <xdr:nvSpPr>
        <xdr:cNvPr id="40" name="Rechteck 39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/>
      </xdr:nvSpPr>
      <xdr:spPr>
        <a:xfrm>
          <a:off x="2821164" y="4367723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13</xdr:row>
      <xdr:rowOff>405322</xdr:rowOff>
    </xdr:from>
    <xdr:to>
      <xdr:col>3</xdr:col>
      <xdr:colOff>67418</xdr:colOff>
      <xdr:row>14</xdr:row>
      <xdr:rowOff>393246</xdr:rowOff>
    </xdr:to>
    <xdr:sp macro="" textlink="">
      <xdr:nvSpPr>
        <xdr:cNvPr id="41" name="Rechteck 40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/>
      </xdr:nvSpPr>
      <xdr:spPr>
        <a:xfrm>
          <a:off x="2821164" y="4777297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14</xdr:row>
      <xdr:rowOff>405322</xdr:rowOff>
    </xdr:from>
    <xdr:to>
      <xdr:col>3</xdr:col>
      <xdr:colOff>67418</xdr:colOff>
      <xdr:row>15</xdr:row>
      <xdr:rowOff>393247</xdr:rowOff>
    </xdr:to>
    <xdr:sp macro="" textlink="">
      <xdr:nvSpPr>
        <xdr:cNvPr id="42" name="Rechteck 41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/>
      </xdr:nvSpPr>
      <xdr:spPr>
        <a:xfrm>
          <a:off x="2821164" y="5186872"/>
          <a:ext cx="65654" cy="39750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15</xdr:row>
      <xdr:rowOff>405323</xdr:rowOff>
    </xdr:from>
    <xdr:to>
      <xdr:col>3</xdr:col>
      <xdr:colOff>67418</xdr:colOff>
      <xdr:row>16</xdr:row>
      <xdr:rowOff>393247</xdr:rowOff>
    </xdr:to>
    <xdr:sp macro="" textlink="">
      <xdr:nvSpPr>
        <xdr:cNvPr id="43" name="Rechteck 42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/>
      </xdr:nvSpPr>
      <xdr:spPr>
        <a:xfrm>
          <a:off x="2821164" y="5596448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16</xdr:row>
      <xdr:rowOff>401241</xdr:rowOff>
    </xdr:from>
    <xdr:to>
      <xdr:col>3</xdr:col>
      <xdr:colOff>68035</xdr:colOff>
      <xdr:row>17</xdr:row>
      <xdr:rowOff>390525</xdr:rowOff>
    </xdr:to>
    <xdr:sp macro="" textlink="">
      <xdr:nvSpPr>
        <xdr:cNvPr id="44" name="Rechteck 43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/>
      </xdr:nvSpPr>
      <xdr:spPr>
        <a:xfrm>
          <a:off x="2819400" y="6001941"/>
          <a:ext cx="68035" cy="39885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17</xdr:row>
      <xdr:rowOff>400049</xdr:rowOff>
    </xdr:from>
    <xdr:to>
      <xdr:col>3</xdr:col>
      <xdr:colOff>68035</xdr:colOff>
      <xdr:row>18</xdr:row>
      <xdr:rowOff>390525</xdr:rowOff>
    </xdr:to>
    <xdr:sp macro="" textlink="">
      <xdr:nvSpPr>
        <xdr:cNvPr id="45" name="Rechteck 44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/>
      </xdr:nvSpPr>
      <xdr:spPr>
        <a:xfrm>
          <a:off x="2819400" y="64103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18</xdr:row>
      <xdr:rowOff>400049</xdr:rowOff>
    </xdr:from>
    <xdr:to>
      <xdr:col>3</xdr:col>
      <xdr:colOff>68035</xdr:colOff>
      <xdr:row>19</xdr:row>
      <xdr:rowOff>390525</xdr:rowOff>
    </xdr:to>
    <xdr:sp macro="" textlink="">
      <xdr:nvSpPr>
        <xdr:cNvPr id="46" name="Rechteck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/>
      </xdr:nvSpPr>
      <xdr:spPr>
        <a:xfrm>
          <a:off x="2819400" y="681989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19</xdr:row>
      <xdr:rowOff>400049</xdr:rowOff>
    </xdr:from>
    <xdr:to>
      <xdr:col>3</xdr:col>
      <xdr:colOff>68035</xdr:colOff>
      <xdr:row>20</xdr:row>
      <xdr:rowOff>389164</xdr:rowOff>
    </xdr:to>
    <xdr:sp macro="" textlink="">
      <xdr:nvSpPr>
        <xdr:cNvPr id="47" name="Rechteck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/>
      </xdr:nvSpPr>
      <xdr:spPr>
        <a:xfrm>
          <a:off x="2819400" y="7229474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20</xdr:row>
      <xdr:rowOff>400049</xdr:rowOff>
    </xdr:from>
    <xdr:to>
      <xdr:col>3</xdr:col>
      <xdr:colOff>68035</xdr:colOff>
      <xdr:row>21</xdr:row>
      <xdr:rowOff>392256</xdr:rowOff>
    </xdr:to>
    <xdr:sp macro="" textlink="">
      <xdr:nvSpPr>
        <xdr:cNvPr id="48" name="Rechteck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/>
      </xdr:nvSpPr>
      <xdr:spPr>
        <a:xfrm>
          <a:off x="2819400" y="7639049"/>
          <a:ext cx="68035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21</xdr:row>
      <xdr:rowOff>400049</xdr:rowOff>
    </xdr:from>
    <xdr:to>
      <xdr:col>3</xdr:col>
      <xdr:colOff>68035</xdr:colOff>
      <xdr:row>22</xdr:row>
      <xdr:rowOff>390525</xdr:rowOff>
    </xdr:to>
    <xdr:sp macro="" textlink="">
      <xdr:nvSpPr>
        <xdr:cNvPr id="49" name="Rechteck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/>
      </xdr:nvSpPr>
      <xdr:spPr>
        <a:xfrm>
          <a:off x="2819400" y="80486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22</xdr:row>
      <xdr:rowOff>394607</xdr:rowOff>
    </xdr:from>
    <xdr:to>
      <xdr:col>3</xdr:col>
      <xdr:colOff>68035</xdr:colOff>
      <xdr:row>23</xdr:row>
      <xdr:rowOff>383722</xdr:rowOff>
    </xdr:to>
    <xdr:sp macro="" textlink="">
      <xdr:nvSpPr>
        <xdr:cNvPr id="50" name="Rechteck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/>
      </xdr:nvSpPr>
      <xdr:spPr>
        <a:xfrm>
          <a:off x="2819400" y="8452757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23</xdr:row>
      <xdr:rowOff>394607</xdr:rowOff>
    </xdr:from>
    <xdr:to>
      <xdr:col>3</xdr:col>
      <xdr:colOff>68035</xdr:colOff>
      <xdr:row>24</xdr:row>
      <xdr:rowOff>383722</xdr:rowOff>
    </xdr:to>
    <xdr:sp macro="" textlink="">
      <xdr:nvSpPr>
        <xdr:cNvPr id="51" name="Rechteck 50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/>
      </xdr:nvSpPr>
      <xdr:spPr>
        <a:xfrm>
          <a:off x="2819400" y="8862332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24</xdr:row>
      <xdr:rowOff>394606</xdr:rowOff>
    </xdr:from>
    <xdr:to>
      <xdr:col>3</xdr:col>
      <xdr:colOff>68035</xdr:colOff>
      <xdr:row>25</xdr:row>
      <xdr:rowOff>383721</xdr:rowOff>
    </xdr:to>
    <xdr:sp macro="" textlink="">
      <xdr:nvSpPr>
        <xdr:cNvPr id="52" name="Rechteck 5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/>
      </xdr:nvSpPr>
      <xdr:spPr>
        <a:xfrm>
          <a:off x="2819400" y="9271906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 editAs="oneCell">
    <xdr:from>
      <xdr:col>3</xdr:col>
      <xdr:colOff>161925</xdr:colOff>
      <xdr:row>4</xdr:row>
      <xdr:rowOff>47625</xdr:rowOff>
    </xdr:from>
    <xdr:to>
      <xdr:col>3</xdr:col>
      <xdr:colOff>2114550</xdr:colOff>
      <xdr:row>4</xdr:row>
      <xdr:rowOff>447675</xdr:rowOff>
    </xdr:to>
    <xdr:grpSp>
      <xdr:nvGrpSpPr>
        <xdr:cNvPr id="64" name="Gruppieren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GrpSpPr/>
      </xdr:nvGrpSpPr>
      <xdr:grpSpPr>
        <a:xfrm>
          <a:off x="3575685" y="992505"/>
          <a:ext cx="1952625" cy="400050"/>
          <a:chOff x="2981325" y="981075"/>
          <a:chExt cx="1952625" cy="400050"/>
        </a:xfrm>
      </xdr:grpSpPr>
      <xdr:sp macro="" textlink="">
        <xdr:nvSpPr>
          <xdr:cNvPr id="65" name="Eingekerbter Richtungspfeil 64">
            <a:extLst>
              <a:ext uri="{FF2B5EF4-FFF2-40B4-BE49-F238E27FC236}">
                <a16:creationId xmlns:a16="http://schemas.microsoft.com/office/drawing/2014/main" id="{00000000-0008-0000-0900-000041000000}"/>
              </a:ext>
            </a:extLst>
          </xdr:cNvPr>
          <xdr:cNvSpPr/>
        </xdr:nvSpPr>
        <xdr:spPr>
          <a:xfrm rot="10800000">
            <a:off x="360616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6" name="Eingekerbter Richtungspfeil 65">
            <a:extLst>
              <a:ext uri="{FF2B5EF4-FFF2-40B4-BE49-F238E27FC236}">
                <a16:creationId xmlns:a16="http://schemas.microsoft.com/office/drawing/2014/main" id="{00000000-0008-0000-0900-000042000000}"/>
              </a:ext>
            </a:extLst>
          </xdr:cNvPr>
          <xdr:cNvSpPr/>
        </xdr:nvSpPr>
        <xdr:spPr>
          <a:xfrm>
            <a:off x="406146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7" name="Eingekerbter Richtungspfeil 66">
            <a:extLst>
              <a:ext uri="{FF2B5EF4-FFF2-40B4-BE49-F238E27FC236}">
                <a16:creationId xmlns:a16="http://schemas.microsoft.com/office/drawing/2014/main" id="{00000000-0008-0000-0900-000043000000}"/>
              </a:ext>
            </a:extLst>
          </xdr:cNvPr>
          <xdr:cNvSpPr/>
        </xdr:nvSpPr>
        <xdr:spPr>
          <a:xfrm>
            <a:off x="468630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8" name="Eingekerbter Richtungspfeil 67">
            <a:extLst>
              <a:ext uri="{FF2B5EF4-FFF2-40B4-BE49-F238E27FC236}">
                <a16:creationId xmlns:a16="http://schemas.microsoft.com/office/drawing/2014/main" id="{00000000-0008-0000-0900-000044000000}"/>
              </a:ext>
            </a:extLst>
          </xdr:cNvPr>
          <xdr:cNvSpPr/>
        </xdr:nvSpPr>
        <xdr:spPr>
          <a:xfrm>
            <a:off x="437388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9" name="Eingekerbter Richtungspfeil 68">
            <a:extLst>
              <a:ext uri="{FF2B5EF4-FFF2-40B4-BE49-F238E27FC236}">
                <a16:creationId xmlns:a16="http://schemas.microsoft.com/office/drawing/2014/main" id="{00000000-0008-0000-0900-000045000000}"/>
              </a:ext>
            </a:extLst>
          </xdr:cNvPr>
          <xdr:cNvSpPr/>
        </xdr:nvSpPr>
        <xdr:spPr>
          <a:xfrm rot="10800000">
            <a:off x="329374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70" name="Eingekerbter Richtungspfeil 69">
            <a:extLst>
              <a:ext uri="{FF2B5EF4-FFF2-40B4-BE49-F238E27FC236}">
                <a16:creationId xmlns:a16="http://schemas.microsoft.com/office/drawing/2014/main" id="{00000000-0008-0000-0900-000046000000}"/>
              </a:ext>
            </a:extLst>
          </xdr:cNvPr>
          <xdr:cNvSpPr/>
        </xdr:nvSpPr>
        <xdr:spPr>
          <a:xfrm rot="10800000">
            <a:off x="298132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67418</xdr:colOff>
      <xdr:row>6</xdr:row>
      <xdr:rowOff>190500</xdr:rowOff>
    </xdr:from>
    <xdr:to>
      <xdr:col>3</xdr:col>
      <xdr:colOff>2210418</xdr:colOff>
      <xdr:row>6</xdr:row>
      <xdr:rowOff>191095</xdr:rowOff>
    </xdr:to>
    <xdr:cxnSp macro="">
      <xdr:nvCxnSpPr>
        <xdr:cNvPr id="74" name="Gerade Verbindung mit Pfeil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 flipV="1">
          <a:off x="3248768" y="1695450"/>
          <a:ext cx="2143000" cy="59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200620</xdr:rowOff>
    </xdr:from>
    <xdr:to>
      <xdr:col>3</xdr:col>
      <xdr:colOff>2210418</xdr:colOff>
      <xdr:row>8</xdr:row>
      <xdr:rowOff>209550</xdr:rowOff>
    </xdr:to>
    <xdr:cxnSp macro="">
      <xdr:nvCxnSpPr>
        <xdr:cNvPr id="77" name="Gerade Verbindung mit Pfeil 76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CxnSpPr>
          <a:stCxn id="33" idx="3"/>
          <a:endCxn id="15" idx="1"/>
        </xdr:cNvCxnSpPr>
      </xdr:nvCxnSpPr>
      <xdr:spPr>
        <a:xfrm>
          <a:off x="2886818" y="1705570"/>
          <a:ext cx="2143000" cy="828080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200620</xdr:rowOff>
    </xdr:from>
    <xdr:to>
      <xdr:col>3</xdr:col>
      <xdr:colOff>2210418</xdr:colOff>
      <xdr:row>10</xdr:row>
      <xdr:rowOff>209820</xdr:rowOff>
    </xdr:to>
    <xdr:cxnSp macro="">
      <xdr:nvCxnSpPr>
        <xdr:cNvPr id="80" name="Gerade Verbindung mit Pfeil 79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CxnSpPr>
          <a:stCxn id="33" idx="3"/>
          <a:endCxn id="17" idx="1"/>
        </xdr:cNvCxnSpPr>
      </xdr:nvCxnSpPr>
      <xdr:spPr>
        <a:xfrm>
          <a:off x="2886818" y="1705570"/>
          <a:ext cx="2143000" cy="1647500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200025</xdr:rowOff>
    </xdr:from>
    <xdr:to>
      <xdr:col>3</xdr:col>
      <xdr:colOff>2210418</xdr:colOff>
      <xdr:row>7</xdr:row>
      <xdr:rowOff>201215</xdr:rowOff>
    </xdr:to>
    <xdr:cxnSp macro="">
      <xdr:nvCxnSpPr>
        <xdr:cNvPr id="83" name="Gerade Verbindung mit Pfeil 82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CxnSpPr>
          <a:stCxn id="34" idx="3"/>
          <a:endCxn id="2" idx="1"/>
        </xdr:cNvCxnSpPr>
      </xdr:nvCxnSpPr>
      <xdr:spPr>
        <a:xfrm flipV="1">
          <a:off x="2886818" y="1704975"/>
          <a:ext cx="2143000" cy="41076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6</xdr:col>
      <xdr:colOff>295275</xdr:colOff>
      <xdr:row>2</xdr:row>
      <xdr:rowOff>47625</xdr:rowOff>
    </xdr:from>
    <xdr:to>
      <xdr:col>6</xdr:col>
      <xdr:colOff>468075</xdr:colOff>
      <xdr:row>3</xdr:row>
      <xdr:rowOff>10875</xdr:rowOff>
    </xdr:to>
    <xdr:grpSp>
      <xdr:nvGrpSpPr>
        <xdr:cNvPr id="76" name="Gruppieren 7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GrpSpPr/>
      </xdr:nvGrpSpPr>
      <xdr:grpSpPr>
        <a:xfrm>
          <a:off x="10125075" y="611505"/>
          <a:ext cx="172800" cy="168990"/>
          <a:chOff x="8105775" y="571500"/>
          <a:chExt cx="172800" cy="172800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0900-00004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9" name="Textfeld 78">
            <a:extLst>
              <a:ext uri="{FF2B5EF4-FFF2-40B4-BE49-F238E27FC236}">
                <a16:creationId xmlns:a16="http://schemas.microsoft.com/office/drawing/2014/main" id="{00000000-0008-0000-0900-00004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25</xdr:row>
      <xdr:rowOff>85725</xdr:rowOff>
    </xdr:from>
    <xdr:to>
      <xdr:col>0</xdr:col>
      <xdr:colOff>381150</xdr:colOff>
      <xdr:row>26</xdr:row>
      <xdr:rowOff>1615</xdr:rowOff>
    </xdr:to>
    <xdr:grpSp>
      <xdr:nvGrpSpPr>
        <xdr:cNvPr id="85" name="Gruppieren 8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GrpSpPr/>
      </xdr:nvGrpSpPr>
      <xdr:grpSpPr>
        <a:xfrm>
          <a:off x="57150" y="9267825"/>
          <a:ext cx="324000" cy="319750"/>
          <a:chOff x="66675" y="4972050"/>
          <a:chExt cx="324000" cy="325465"/>
        </a:xfrm>
      </xdr:grpSpPr>
      <xdr:sp macro="" textlink="">
        <xdr:nvSpPr>
          <xdr:cNvPr id="86" name="Rechteck 85">
            <a:extLst>
              <a:ext uri="{FF2B5EF4-FFF2-40B4-BE49-F238E27FC236}">
                <a16:creationId xmlns:a16="http://schemas.microsoft.com/office/drawing/2014/main" id="{00000000-0008-0000-0900-00005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7" name="Pfeil nach oben 86">
            <a:extLst>
              <a:ext uri="{FF2B5EF4-FFF2-40B4-BE49-F238E27FC236}">
                <a16:creationId xmlns:a16="http://schemas.microsoft.com/office/drawing/2014/main" id="{00000000-0008-0000-0900-00005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89" name="Gruppieren 8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90" name="Rechteck 89">
            <a:extLst>
              <a:ext uri="{FF2B5EF4-FFF2-40B4-BE49-F238E27FC236}">
                <a16:creationId xmlns:a16="http://schemas.microsoft.com/office/drawing/2014/main" id="{00000000-0008-0000-0900-00005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1" name="Pfeil nach links 90">
            <a:extLst>
              <a:ext uri="{FF2B5EF4-FFF2-40B4-BE49-F238E27FC236}">
                <a16:creationId xmlns:a16="http://schemas.microsoft.com/office/drawing/2014/main" id="{00000000-0008-0000-0900-00005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171449</xdr:colOff>
          <xdr:row>0</xdr:row>
          <xdr:rowOff>14287</xdr:rowOff>
        </xdr:from>
        <xdr:to>
          <xdr:col>6</xdr:col>
          <xdr:colOff>509587</xdr:colOff>
          <xdr:row>0</xdr:row>
          <xdr:rowOff>547687</xdr:rowOff>
        </xdr:to>
        <xdr:pic>
          <xdr:nvPicPr>
            <xdr:cNvPr id="62" name="Grafik 45">
              <a:extLst>
                <a:ext uri="{FF2B5EF4-FFF2-40B4-BE49-F238E27FC236}">
                  <a16:creationId xmlns:a16="http://schemas.microsoft.com/office/drawing/2014/main" id="{00000000-0008-0000-0900-00003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93251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362949" y="14287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2</xdr:col>
      <xdr:colOff>42861</xdr:colOff>
      <xdr:row>4</xdr:row>
      <xdr:rowOff>280988</xdr:rowOff>
    </xdr:from>
    <xdr:to>
      <xdr:col>2</xdr:col>
      <xdr:colOff>219669</xdr:colOff>
      <xdr:row>4</xdr:row>
      <xdr:rowOff>445748</xdr:rowOff>
    </xdr:to>
    <xdr:grpSp>
      <xdr:nvGrpSpPr>
        <xdr:cNvPr id="63" name="Gruppieren 4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GrpSpPr>
          <a:grpSpLocks noChangeAspect="1"/>
        </xdr:cNvGrpSpPr>
      </xdr:nvGrpSpPr>
      <xdr:grpSpPr>
        <a:xfrm>
          <a:off x="980121" y="1225868"/>
          <a:ext cx="176808" cy="164760"/>
          <a:chOff x="12020550" y="2171700"/>
          <a:chExt cx="324000" cy="325465"/>
        </a:xfrm>
      </xdr:grpSpPr>
      <xdr:sp macro="" textlink="">
        <xdr:nvSpPr>
          <xdr:cNvPr id="71" name="Rechteck 41">
            <a:extLst>
              <a:ext uri="{FF2B5EF4-FFF2-40B4-BE49-F238E27FC236}">
                <a16:creationId xmlns:a16="http://schemas.microsoft.com/office/drawing/2014/main" id="{00000000-0008-0000-0900-000047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2" name="Pfeil nach rechts 42">
            <a:extLst>
              <a:ext uri="{FF2B5EF4-FFF2-40B4-BE49-F238E27FC236}">
                <a16:creationId xmlns:a16="http://schemas.microsoft.com/office/drawing/2014/main" id="{00000000-0008-0000-0900-000048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1076325</xdr:colOff>
      <xdr:row>2</xdr:row>
      <xdr:rowOff>47625</xdr:rowOff>
    </xdr:from>
    <xdr:to>
      <xdr:col>11</xdr:col>
      <xdr:colOff>1249125</xdr:colOff>
      <xdr:row>3</xdr:row>
      <xdr:rowOff>10875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/>
      </xdr:nvGrpSpPr>
      <xdr:grpSpPr>
        <a:xfrm>
          <a:off x="11462385" y="611505"/>
          <a:ext cx="172800" cy="16899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35</xdr:row>
      <xdr:rowOff>28575</xdr:rowOff>
    </xdr:from>
    <xdr:to>
      <xdr:col>0</xdr:col>
      <xdr:colOff>400200</xdr:colOff>
      <xdr:row>37</xdr:row>
      <xdr:rowOff>106390</xdr:rowOff>
    </xdr:to>
    <xdr:grpSp>
      <xdr:nvGrpSpPr>
        <xdr:cNvPr id="5" name="Gruppier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GrpSpPr/>
      </xdr:nvGrpSpPr>
      <xdr:grpSpPr>
        <a:xfrm>
          <a:off x="76200" y="7381875"/>
          <a:ext cx="324000" cy="314035"/>
          <a:chOff x="66675" y="497205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oben 6">
            <a:extLst>
              <a:ext uri="{FF2B5EF4-FFF2-40B4-BE49-F238E27FC236}">
                <a16:creationId xmlns:a16="http://schemas.microsoft.com/office/drawing/2014/main" id="{00000000-0008-0000-0A00-00000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absolute">
    <xdr:from>
      <xdr:col>1</xdr:col>
      <xdr:colOff>76200</xdr:colOff>
      <xdr:row>30</xdr:row>
      <xdr:rowOff>49455</xdr:rowOff>
    </xdr:from>
    <xdr:to>
      <xdr:col>6</xdr:col>
      <xdr:colOff>666075</xdr:colOff>
      <xdr:row>37</xdr:row>
      <xdr:rowOff>86055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542925" y="6483593"/>
          <a:ext cx="5400000" cy="133200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l"/>
          <a:endParaRPr lang="de-CH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6</xdr:col>
      <xdr:colOff>670878</xdr:colOff>
      <xdr:row>30</xdr:row>
      <xdr:rowOff>50616</xdr:rowOff>
    </xdr:from>
    <xdr:to>
      <xdr:col>11</xdr:col>
      <xdr:colOff>1261486</xdr:colOff>
      <xdr:row>37</xdr:row>
      <xdr:rowOff>87216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5947728" y="6484754"/>
          <a:ext cx="5400733" cy="133200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l"/>
          <a:endParaRPr lang="de-CH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75197</xdr:colOff>
      <xdr:row>3</xdr:row>
      <xdr:rowOff>85223</xdr:rowOff>
    </xdr:from>
    <xdr:to>
      <xdr:col>11</xdr:col>
      <xdr:colOff>1263316</xdr:colOff>
      <xdr:row>30</xdr:row>
      <xdr:rowOff>66675</xdr:rowOff>
    </xdr:to>
    <xdr:grpSp>
      <xdr:nvGrpSpPr>
        <xdr:cNvPr id="10" name="Gruppieren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GrpSpPr/>
      </xdr:nvGrpSpPr>
      <xdr:grpSpPr>
        <a:xfrm>
          <a:off x="555257" y="854843"/>
          <a:ext cx="11094119" cy="5536432"/>
          <a:chOff x="539023" y="830658"/>
          <a:chExt cx="10795945" cy="5572213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0A00-00000B000000}"/>
              </a:ext>
            </a:extLst>
          </xdr:cNvPr>
          <xdr:cNvSpPr/>
        </xdr:nvSpPr>
        <xdr:spPr>
          <a:xfrm>
            <a:off x="540026" y="831160"/>
            <a:ext cx="10787576" cy="5571711"/>
          </a:xfrm>
          <a:prstGeom prst="rect">
            <a:avLst/>
          </a:prstGeom>
          <a:noFill/>
          <a:ln>
            <a:solidFill>
              <a:schemeClr val="accent1">
                <a:lumMod val="75000"/>
              </a:schemeClr>
            </a:solidFill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  <xdr:cxnSp macro="">
        <xdr:nvCxnSpPr>
          <xdr:cNvPr id="12" name="Gerader Verbinder 11">
            <a:extLst>
              <a:ext uri="{FF2B5EF4-FFF2-40B4-BE49-F238E27FC236}">
                <a16:creationId xmlns:a16="http://schemas.microsoft.com/office/drawing/2014/main" id="{00000000-0008-0000-0A00-00000C000000}"/>
              </a:ext>
            </a:extLst>
          </xdr:cNvPr>
          <xdr:cNvCxnSpPr/>
        </xdr:nvCxnSpPr>
        <xdr:spPr>
          <a:xfrm flipV="1">
            <a:off x="539023" y="830658"/>
            <a:ext cx="10795945" cy="5570709"/>
          </a:xfrm>
          <a:prstGeom prst="lin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Gerader Verbinder 12">
            <a:extLst>
              <a:ext uri="{FF2B5EF4-FFF2-40B4-BE49-F238E27FC236}">
                <a16:creationId xmlns:a16="http://schemas.microsoft.com/office/drawing/2014/main" id="{00000000-0008-0000-0A00-00000D000000}"/>
              </a:ext>
            </a:extLst>
          </xdr:cNvPr>
          <xdr:cNvCxnSpPr/>
        </xdr:nvCxnSpPr>
        <xdr:spPr>
          <a:xfrm>
            <a:off x="539023" y="830659"/>
            <a:ext cx="10787141" cy="5570586"/>
          </a:xfrm>
          <a:prstGeom prst="lin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320776</xdr:colOff>
      <xdr:row>10</xdr:row>
      <xdr:rowOff>126836</xdr:rowOff>
    </xdr:from>
    <xdr:to>
      <xdr:col>8</xdr:col>
      <xdr:colOff>55712</xdr:colOff>
      <xdr:row>23</xdr:row>
      <xdr:rowOff>25062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GrpSpPr/>
      </xdr:nvGrpSpPr>
      <xdr:grpSpPr>
        <a:xfrm>
          <a:off x="4763236" y="2336636"/>
          <a:ext cx="2706736" cy="2572846"/>
          <a:chOff x="4579890" y="2354187"/>
          <a:chExt cx="2621011" cy="2622376"/>
        </a:xfrm>
      </xdr:grpSpPr>
      <xdr:sp macro="" textlink="">
        <xdr:nvSpPr>
          <xdr:cNvPr id="15" name="Rad 14">
            <a:extLst>
              <a:ext uri="{FF2B5EF4-FFF2-40B4-BE49-F238E27FC236}">
                <a16:creationId xmlns:a16="http://schemas.microsoft.com/office/drawing/2014/main" id="{00000000-0008-0000-0A00-00000F000000}"/>
              </a:ext>
            </a:extLst>
          </xdr:cNvPr>
          <xdr:cNvSpPr/>
        </xdr:nvSpPr>
        <xdr:spPr>
          <a:xfrm>
            <a:off x="5091284" y="3496772"/>
            <a:ext cx="271052" cy="271193"/>
          </a:xfrm>
          <a:prstGeom prst="donu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6" name="Ellipse 15">
            <a:extLst>
              <a:ext uri="{FF2B5EF4-FFF2-40B4-BE49-F238E27FC236}">
                <a16:creationId xmlns:a16="http://schemas.microsoft.com/office/drawing/2014/main" id="{00000000-0008-0000-0A00-000010000000}"/>
              </a:ext>
            </a:extLst>
          </xdr:cNvPr>
          <xdr:cNvSpPr/>
        </xdr:nvSpPr>
        <xdr:spPr>
          <a:xfrm rot="549742">
            <a:off x="6450307" y="3651102"/>
            <a:ext cx="299583" cy="242646"/>
          </a:xfrm>
          <a:prstGeom prst="ellipse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n w="9525">
                <a:solidFill>
                  <a:schemeClr val="tx1"/>
                </a:solidFill>
              </a:ln>
            </a:endParaRPr>
          </a:p>
        </xdr:txBody>
      </xdr:sp>
      <xdr:sp macro="" textlink="">
        <xdr:nvSpPr>
          <xdr:cNvPr id="17" name="Ellipse 16">
            <a:extLst>
              <a:ext uri="{FF2B5EF4-FFF2-40B4-BE49-F238E27FC236}">
                <a16:creationId xmlns:a16="http://schemas.microsoft.com/office/drawing/2014/main" id="{00000000-0008-0000-0A00-000011000000}"/>
              </a:ext>
            </a:extLst>
          </xdr:cNvPr>
          <xdr:cNvSpPr/>
        </xdr:nvSpPr>
        <xdr:spPr>
          <a:xfrm>
            <a:off x="5202351" y="2930301"/>
            <a:ext cx="1469384" cy="1470149"/>
          </a:xfrm>
          <a:prstGeom prst="ellips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  <xdr:grpSp>
        <xdr:nvGrpSpPr>
          <xdr:cNvPr id="18" name="Gruppieren 17">
            <a:extLst>
              <a:ext uri="{FF2B5EF4-FFF2-40B4-BE49-F238E27FC236}">
                <a16:creationId xmlns:a16="http://schemas.microsoft.com/office/drawing/2014/main" id="{00000000-0008-0000-0A00-000012000000}"/>
              </a:ext>
            </a:extLst>
          </xdr:cNvPr>
          <xdr:cNvGrpSpPr/>
        </xdr:nvGrpSpPr>
        <xdr:grpSpPr>
          <a:xfrm>
            <a:off x="6176905" y="3486959"/>
            <a:ext cx="270321" cy="269731"/>
            <a:chOff x="6553200" y="3248025"/>
            <a:chExt cx="360975" cy="360000"/>
          </a:xfrm>
        </xdr:grpSpPr>
        <xdr:sp macro="" textlink="">
          <xdr:nvSpPr>
            <xdr:cNvPr id="21" name="Ellipse 20">
              <a:extLst>
                <a:ext uri="{FF2B5EF4-FFF2-40B4-BE49-F238E27FC236}">
                  <a16:creationId xmlns:a16="http://schemas.microsoft.com/office/drawing/2014/main" id="{00000000-0008-0000-0A00-000015000000}"/>
                </a:ext>
              </a:extLst>
            </xdr:cNvPr>
            <xdr:cNvSpPr>
              <a:spLocks noChangeAspect="1"/>
            </xdr:cNvSpPr>
          </xdr:nvSpPr>
          <xdr:spPr>
            <a:xfrm>
              <a:off x="6553200" y="3248025"/>
              <a:ext cx="360000" cy="360000"/>
            </a:xfrm>
            <a:prstGeom prst="ellipse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  <xdr:sp macro="" textlink="">
          <xdr:nvSpPr>
            <xdr:cNvPr id="22" name="Ellipse 21">
              <a:extLst>
                <a:ext uri="{FF2B5EF4-FFF2-40B4-BE49-F238E27FC236}">
                  <a16:creationId xmlns:a16="http://schemas.microsoft.com/office/drawing/2014/main" id="{00000000-0008-0000-0A00-000016000000}"/>
                </a:ext>
              </a:extLst>
            </xdr:cNvPr>
            <xdr:cNvSpPr>
              <a:spLocks noChangeAspect="1"/>
            </xdr:cNvSpPr>
          </xdr:nvSpPr>
          <xdr:spPr>
            <a:xfrm>
              <a:off x="6734175" y="3390900"/>
              <a:ext cx="180000" cy="180000"/>
            </a:xfrm>
            <a:prstGeom prst="ellipse">
              <a:avLst/>
            </a:prstGeom>
            <a:solidFill>
              <a:schemeClr val="bg1"/>
            </a:solidFill>
            <a:ln w="3175"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</xdr:grpSp>
      <xdr:sp macro="" textlink="">
        <xdr:nvSpPr>
          <xdr:cNvPr id="19" name="Bogen 18">
            <a:extLst>
              <a:ext uri="{FF2B5EF4-FFF2-40B4-BE49-F238E27FC236}">
                <a16:creationId xmlns:a16="http://schemas.microsoft.com/office/drawing/2014/main" id="{00000000-0008-0000-0A00-000013000000}"/>
              </a:ext>
            </a:extLst>
          </xdr:cNvPr>
          <xdr:cNvSpPr/>
        </xdr:nvSpPr>
        <xdr:spPr>
          <a:xfrm rot="10476670">
            <a:off x="5875871" y="3531348"/>
            <a:ext cx="637502" cy="812023"/>
          </a:xfrm>
          <a:prstGeom prst="arc">
            <a:avLst>
              <a:gd name="adj1" fmla="val 16200000"/>
              <a:gd name="adj2" fmla="val 21465046"/>
            </a:avLst>
          </a:prstGeom>
          <a:ln w="9525"/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20" name="Ellipse 19">
            <a:extLst>
              <a:ext uri="{FF2B5EF4-FFF2-40B4-BE49-F238E27FC236}">
                <a16:creationId xmlns:a16="http://schemas.microsoft.com/office/drawing/2014/main" id="{00000000-0008-0000-0A00-000014000000}"/>
              </a:ext>
            </a:extLst>
          </xdr:cNvPr>
          <xdr:cNvSpPr/>
        </xdr:nvSpPr>
        <xdr:spPr>
          <a:xfrm>
            <a:off x="4579890" y="2354187"/>
            <a:ext cx="2621011" cy="2622376"/>
          </a:xfrm>
          <a:prstGeom prst="ellipse">
            <a:avLst/>
          </a:prstGeom>
          <a:noFill/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/>
  </xdr:twoCellAnchor>
  <xdr:twoCellAnchor>
    <xdr:from>
      <xdr:col>10</xdr:col>
      <xdr:colOff>790575</xdr:colOff>
      <xdr:row>37</xdr:row>
      <xdr:rowOff>114300</xdr:rowOff>
    </xdr:from>
    <xdr:to>
      <xdr:col>12</xdr:col>
      <xdr:colOff>257175</xdr:colOff>
      <xdr:row>38</xdr:row>
      <xdr:rowOff>134050</xdr:rowOff>
    </xdr:to>
    <xdr:sp macro="" textlink="">
      <xdr:nvSpPr>
        <xdr:cNvPr id="23" name="ZoneTexte 3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9915525" y="7820025"/>
          <a:ext cx="1695450" cy="2102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>
              <a:solidFill>
                <a:schemeClr val="tx1">
                  <a:lumMod val="50000"/>
                  <a:lumOff val="50000"/>
                </a:schemeClr>
              </a:solidFill>
            </a:rPr>
            <a:pPr algn="l"/>
            <a:t>Source: Osterwalder&amp;Pigneur</a:t>
          </a:fld>
          <a:endParaRPr lang="fr-CH" sz="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oneCellAnchor>
    <xdr:from>
      <xdr:col>6</xdr:col>
      <xdr:colOff>66675</xdr:colOff>
      <xdr:row>11</xdr:row>
      <xdr:rowOff>142875</xdr:rowOff>
    </xdr:from>
    <xdr:ext cx="1209562" cy="264560"/>
    <xdr:sp macro="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5343525" y="2571750"/>
          <a:ext cx="120956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THINK</a:t>
          </a:r>
          <a:r>
            <a:rPr lang="de-CH" sz="1100" b="1" baseline="0"/>
            <a:t> AND FEEL?</a:t>
          </a:r>
          <a:endParaRPr lang="de-CH" sz="1100" b="1"/>
        </a:p>
      </xdr:txBody>
    </xdr:sp>
    <xdr:clientData/>
  </xdr:oneCellAnchor>
  <xdr:oneCellAnchor>
    <xdr:from>
      <xdr:col>6</xdr:col>
      <xdr:colOff>176032</xdr:colOff>
      <xdr:row>21</xdr:row>
      <xdr:rowOff>28575</xdr:rowOff>
    </xdr:from>
    <xdr:ext cx="990849" cy="264560"/>
    <xdr:sp macro="" textlink="">
      <xdr:nvSpPr>
        <xdr:cNvPr id="25" name="Textfeld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5452882" y="4552950"/>
          <a:ext cx="9908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SAY AND DO</a:t>
          </a:r>
          <a:r>
            <a:rPr lang="de-CH" sz="1100" b="1" baseline="0"/>
            <a:t>?</a:t>
          </a:r>
          <a:endParaRPr lang="de-CH" sz="1100" b="1"/>
        </a:p>
      </xdr:txBody>
    </xdr:sp>
    <xdr:clientData/>
  </xdr:oneCellAnchor>
  <xdr:oneCellAnchor>
    <xdr:from>
      <xdr:col>5</xdr:col>
      <xdr:colOff>304800</xdr:colOff>
      <xdr:row>16</xdr:row>
      <xdr:rowOff>47625</xdr:rowOff>
    </xdr:from>
    <xdr:ext cx="572721" cy="264560"/>
    <xdr:sp macro="" textlink="">
      <xdr:nvSpPr>
        <xdr:cNvPr id="26" name="Textfeld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/>
      </xdr:nvSpPr>
      <xdr:spPr>
        <a:xfrm>
          <a:off x="4619625" y="3524250"/>
          <a:ext cx="57272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HEAR</a:t>
          </a:r>
          <a:r>
            <a:rPr lang="de-CH" sz="1100" b="1" baseline="0"/>
            <a:t>?</a:t>
          </a:r>
          <a:endParaRPr lang="de-CH" sz="1100" b="1"/>
        </a:p>
      </xdr:txBody>
    </xdr:sp>
    <xdr:clientData/>
  </xdr:oneCellAnchor>
  <xdr:oneCellAnchor>
    <xdr:from>
      <xdr:col>7</xdr:col>
      <xdr:colOff>561975</xdr:colOff>
      <xdr:row>16</xdr:row>
      <xdr:rowOff>47625</xdr:rowOff>
    </xdr:from>
    <xdr:ext cx="452560" cy="264560"/>
    <xdr:sp macro="" textlink="">
      <xdr:nvSpPr>
        <xdr:cNvPr id="27" name="Textfeld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/>
      </xdr:nvSpPr>
      <xdr:spPr>
        <a:xfrm>
          <a:off x="6800850" y="3524250"/>
          <a:ext cx="4525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SEE</a:t>
          </a:r>
          <a:r>
            <a:rPr lang="de-CH" sz="1100" b="1" baseline="0"/>
            <a:t>?</a:t>
          </a:r>
          <a:endParaRPr lang="de-CH" sz="1100" b="1"/>
        </a:p>
      </xdr:txBody>
    </xdr:sp>
    <xdr:clientData/>
  </xdr:oneCellAnchor>
  <xdr:oneCellAnchor>
    <xdr:from>
      <xdr:col>5</xdr:col>
      <xdr:colOff>897902</xdr:colOff>
      <xdr:row>6</xdr:row>
      <xdr:rowOff>171450</xdr:rowOff>
    </xdr:from>
    <xdr:ext cx="1470467" cy="609013"/>
    <xdr:sp macro="" textlink="' '!A186">
      <xdr:nvSpPr>
        <xdr:cNvPr id="28" name="Textfeld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/>
      </xdr:nvSpPr>
      <xdr:spPr>
        <a:xfrm>
          <a:off x="5212727" y="1552575"/>
          <a:ext cx="147046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E3BC3E8C-C2E4-4A87-BE51-C41451EF3169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what really counts
mayor preoccupations
worries &amp; aspirations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712788</xdr:colOff>
      <xdr:row>15</xdr:row>
      <xdr:rowOff>95250</xdr:rowOff>
    </xdr:from>
    <xdr:ext cx="1359347" cy="609013"/>
    <xdr:sp macro="" textlink="' '!A187">
      <xdr:nvSpPr>
        <xdr:cNvPr id="29" name="Textfeld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 txBox="1"/>
      </xdr:nvSpPr>
      <xdr:spPr>
        <a:xfrm>
          <a:off x="3103563" y="3362325"/>
          <a:ext cx="135934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67357173-5ED9-4056-BDF4-0287B2557415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what friends say
what boss says
what influencers say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8</xdr:col>
      <xdr:colOff>248115</xdr:colOff>
      <xdr:row>15</xdr:row>
      <xdr:rowOff>95250</xdr:rowOff>
    </xdr:from>
    <xdr:ext cx="1507657" cy="609013"/>
    <xdr:sp macro="" textlink="' '!A189">
      <xdr:nvSpPr>
        <xdr:cNvPr id="30" name="Textfeld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 txBox="1"/>
      </xdr:nvSpPr>
      <xdr:spPr>
        <a:xfrm>
          <a:off x="7449015" y="3362325"/>
          <a:ext cx="150765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BF0CC2F3-703F-49F4-9E49-37F1E7876CD1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environment
friends
what the market offers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864239</xdr:colOff>
      <xdr:row>24</xdr:row>
      <xdr:rowOff>0</xdr:rowOff>
    </xdr:from>
    <xdr:ext cx="1537793" cy="609013"/>
    <xdr:sp macro="" textlink="' '!A188">
      <xdr:nvSpPr>
        <xdr:cNvPr id="31" name="Textfeld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 txBox="1"/>
      </xdr:nvSpPr>
      <xdr:spPr>
        <a:xfrm>
          <a:off x="5179064" y="5153025"/>
          <a:ext cx="1537793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CFC3791F-93E1-48C4-9296-5967D96F4E48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attitude in public
appearance
behavior toward others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361949</xdr:colOff>
      <xdr:row>3</xdr:row>
      <xdr:rowOff>198591</xdr:rowOff>
    </xdr:from>
    <xdr:ext cx="936000" cy="336240"/>
    <xdr:sp macro="" textlink="" fLocksText="0">
      <xdr:nvSpPr>
        <xdr:cNvPr id="32" name="Gefaltete Eck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/>
      </xdr:nvSpPr>
      <xdr:spPr>
        <a:xfrm>
          <a:off x="1790699" y="951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614265</xdr:colOff>
      <xdr:row>30</xdr:row>
      <xdr:rowOff>171450</xdr:rowOff>
    </xdr:from>
    <xdr:ext cx="475771" cy="264560"/>
    <xdr:sp macro="" textlink="">
      <xdr:nvSpPr>
        <xdr:cNvPr id="33" name="Textfeld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 txBox="1"/>
      </xdr:nvSpPr>
      <xdr:spPr>
        <a:xfrm>
          <a:off x="3005040" y="6581775"/>
          <a:ext cx="47577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PAIN</a:t>
          </a:r>
        </a:p>
      </xdr:txBody>
    </xdr:sp>
    <xdr:clientData/>
  </xdr:oneCellAnchor>
  <xdr:oneCellAnchor>
    <xdr:from>
      <xdr:col>9</xdr:col>
      <xdr:colOff>239877</xdr:colOff>
      <xdr:row>30</xdr:row>
      <xdr:rowOff>152400</xdr:rowOff>
    </xdr:from>
    <xdr:ext cx="490584" cy="264560"/>
    <xdr:sp macro="" textlink="">
      <xdr:nvSpPr>
        <xdr:cNvPr id="34" name="Textfeld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/>
      </xdr:nvSpPr>
      <xdr:spPr>
        <a:xfrm>
          <a:off x="8402802" y="6562725"/>
          <a:ext cx="49058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GAIN</a:t>
          </a:r>
        </a:p>
      </xdr:txBody>
    </xdr:sp>
    <xdr:clientData/>
  </xdr:oneCellAnchor>
  <xdr:oneCellAnchor>
    <xdr:from>
      <xdr:col>3</xdr:col>
      <xdr:colOff>609599</xdr:colOff>
      <xdr:row>4</xdr:row>
      <xdr:rowOff>131916</xdr:rowOff>
    </xdr:from>
    <xdr:ext cx="936000" cy="336240"/>
    <xdr:sp macro="" textlink="" fLocksText="0">
      <xdr:nvSpPr>
        <xdr:cNvPr id="35" name="Gefaltete Ecke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/>
      </xdr:nvSpPr>
      <xdr:spPr>
        <a:xfrm>
          <a:off x="3000374" y="10939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180974</xdr:colOff>
      <xdr:row>7</xdr:row>
      <xdr:rowOff>93816</xdr:rowOff>
    </xdr:from>
    <xdr:ext cx="936000" cy="336240"/>
    <xdr:sp macro="" textlink="" fLocksText="0">
      <xdr:nvSpPr>
        <xdr:cNvPr id="36" name="Gefaltete Eck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/>
      </xdr:nvSpPr>
      <xdr:spPr>
        <a:xfrm>
          <a:off x="3533774" y="16844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285749</xdr:colOff>
      <xdr:row>3</xdr:row>
      <xdr:rowOff>198591</xdr:rowOff>
    </xdr:from>
    <xdr:ext cx="936000" cy="336240"/>
    <xdr:sp macro="" textlink="" fLocksText="0">
      <xdr:nvSpPr>
        <xdr:cNvPr id="37" name="Gefaltete Eck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/>
      </xdr:nvSpPr>
      <xdr:spPr>
        <a:xfrm>
          <a:off x="4600574" y="951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761999</xdr:colOff>
      <xdr:row>10</xdr:row>
      <xdr:rowOff>17616</xdr:rowOff>
    </xdr:from>
    <xdr:ext cx="936000" cy="336240"/>
    <xdr:sp macro="" textlink="" fLocksText="0">
      <xdr:nvSpPr>
        <xdr:cNvPr id="38" name="Gefaltete Eck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/>
      </xdr:nvSpPr>
      <xdr:spPr>
        <a:xfrm>
          <a:off x="4114799" y="22369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9524</xdr:colOff>
      <xdr:row>4</xdr:row>
      <xdr:rowOff>122391</xdr:rowOff>
    </xdr:from>
    <xdr:ext cx="936000" cy="336240"/>
    <xdr:sp macro="" textlink="" fLocksText="0">
      <xdr:nvSpPr>
        <xdr:cNvPr id="39" name="Gefaltete Eck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/>
      </xdr:nvSpPr>
      <xdr:spPr>
        <a:xfrm>
          <a:off x="6248399" y="10844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76199</xdr:colOff>
      <xdr:row>7</xdr:row>
      <xdr:rowOff>112866</xdr:rowOff>
    </xdr:from>
    <xdr:ext cx="936000" cy="336240"/>
    <xdr:sp macro="" textlink="" fLocksText="0">
      <xdr:nvSpPr>
        <xdr:cNvPr id="40" name="Gefaltete Eck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/>
      </xdr:nvSpPr>
      <xdr:spPr>
        <a:xfrm>
          <a:off x="7277099" y="17035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600074</xdr:colOff>
      <xdr:row>9</xdr:row>
      <xdr:rowOff>160491</xdr:rowOff>
    </xdr:from>
    <xdr:ext cx="936000" cy="336240"/>
    <xdr:sp macro="" textlink="" fLocksText="0">
      <xdr:nvSpPr>
        <xdr:cNvPr id="41" name="Gefaltete Eck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/>
      </xdr:nvSpPr>
      <xdr:spPr>
        <a:xfrm>
          <a:off x="6838949" y="21702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514349</xdr:colOff>
      <xdr:row>3</xdr:row>
      <xdr:rowOff>198591</xdr:rowOff>
    </xdr:from>
    <xdr:ext cx="936000" cy="336240"/>
    <xdr:sp macro="" textlink="" fLocksText="0">
      <xdr:nvSpPr>
        <xdr:cNvPr id="42" name="Gefaltete Eck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/>
      </xdr:nvSpPr>
      <xdr:spPr>
        <a:xfrm>
          <a:off x="7715249" y="951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228599</xdr:colOff>
      <xdr:row>3</xdr:row>
      <xdr:rowOff>198591</xdr:rowOff>
    </xdr:from>
    <xdr:ext cx="936000" cy="336240"/>
    <xdr:sp macro="" textlink="" fLocksText="0">
      <xdr:nvSpPr>
        <xdr:cNvPr id="43" name="Gefaltete Eck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/>
      </xdr:nvSpPr>
      <xdr:spPr>
        <a:xfrm>
          <a:off x="9353549" y="951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9</xdr:col>
      <xdr:colOff>285749</xdr:colOff>
      <xdr:row>6</xdr:row>
      <xdr:rowOff>55716</xdr:rowOff>
    </xdr:from>
    <xdr:ext cx="936000" cy="336240"/>
    <xdr:sp macro="" textlink="" fLocksText="0">
      <xdr:nvSpPr>
        <xdr:cNvPr id="44" name="Gefaltete Eck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/>
      </xdr:nvSpPr>
      <xdr:spPr>
        <a:xfrm>
          <a:off x="8448674" y="14368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142874</xdr:colOff>
      <xdr:row>6</xdr:row>
      <xdr:rowOff>160491</xdr:rowOff>
    </xdr:from>
    <xdr:ext cx="936000" cy="336240"/>
    <xdr:sp macro="" textlink="" fLocksText="0">
      <xdr:nvSpPr>
        <xdr:cNvPr id="45" name="Gefaltete Eck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/>
      </xdr:nvSpPr>
      <xdr:spPr>
        <a:xfrm>
          <a:off x="609599" y="15416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485774</xdr:colOff>
      <xdr:row>10</xdr:row>
      <xdr:rowOff>150966</xdr:rowOff>
    </xdr:from>
    <xdr:ext cx="936000" cy="336240"/>
    <xdr:sp macro="" textlink="" fLocksText="0">
      <xdr:nvSpPr>
        <xdr:cNvPr id="46" name="Gefaltete Ecke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/>
      </xdr:nvSpPr>
      <xdr:spPr>
        <a:xfrm>
          <a:off x="952499" y="23702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352424</xdr:colOff>
      <xdr:row>15</xdr:row>
      <xdr:rowOff>122391</xdr:rowOff>
    </xdr:from>
    <xdr:ext cx="936000" cy="336240"/>
    <xdr:sp macro="" textlink="" fLocksText="0">
      <xdr:nvSpPr>
        <xdr:cNvPr id="47" name="Gefaltete Ecke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/>
      </xdr:nvSpPr>
      <xdr:spPr>
        <a:xfrm>
          <a:off x="819149" y="33894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114299</xdr:colOff>
      <xdr:row>10</xdr:row>
      <xdr:rowOff>189066</xdr:rowOff>
    </xdr:from>
    <xdr:ext cx="936000" cy="336240"/>
    <xdr:sp macro="" textlink="" fLocksText="0">
      <xdr:nvSpPr>
        <xdr:cNvPr id="48" name="Gefaltete Ecke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/>
      </xdr:nvSpPr>
      <xdr:spPr>
        <a:xfrm>
          <a:off x="2505074" y="24083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742949</xdr:colOff>
      <xdr:row>18</xdr:row>
      <xdr:rowOff>93816</xdr:rowOff>
    </xdr:from>
    <xdr:ext cx="936000" cy="336240"/>
    <xdr:sp macro="" textlink="" fLocksText="0">
      <xdr:nvSpPr>
        <xdr:cNvPr id="49" name="Gefaltete Ecke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/>
      </xdr:nvSpPr>
      <xdr:spPr>
        <a:xfrm>
          <a:off x="2171699" y="39895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485774</xdr:colOff>
      <xdr:row>21</xdr:row>
      <xdr:rowOff>55716</xdr:rowOff>
    </xdr:from>
    <xdr:ext cx="936000" cy="336240"/>
    <xdr:sp macro="" textlink="" fLocksText="0">
      <xdr:nvSpPr>
        <xdr:cNvPr id="50" name="Gefaltete Ecke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/>
      </xdr:nvSpPr>
      <xdr:spPr>
        <a:xfrm>
          <a:off x="952499" y="45800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114299</xdr:colOff>
      <xdr:row>21</xdr:row>
      <xdr:rowOff>55716</xdr:rowOff>
    </xdr:from>
    <xdr:ext cx="936000" cy="336240"/>
    <xdr:sp macro="" textlink="" fLocksText="0">
      <xdr:nvSpPr>
        <xdr:cNvPr id="51" name="Gefaltete Eck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/>
      </xdr:nvSpPr>
      <xdr:spPr>
        <a:xfrm>
          <a:off x="2505074" y="45800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285749</xdr:colOff>
      <xdr:row>24</xdr:row>
      <xdr:rowOff>160491</xdr:rowOff>
    </xdr:from>
    <xdr:ext cx="936000" cy="336240"/>
    <xdr:sp macro="" textlink="" fLocksText="0">
      <xdr:nvSpPr>
        <xdr:cNvPr id="52" name="Gefaltete Eck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/>
      </xdr:nvSpPr>
      <xdr:spPr>
        <a:xfrm>
          <a:off x="752474" y="53135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790574</xdr:colOff>
      <xdr:row>14</xdr:row>
      <xdr:rowOff>103341</xdr:rowOff>
    </xdr:from>
    <xdr:ext cx="936000" cy="336240"/>
    <xdr:sp macro="" textlink="" fLocksText="0">
      <xdr:nvSpPr>
        <xdr:cNvPr id="53" name="Gefaltete Eck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/>
      </xdr:nvSpPr>
      <xdr:spPr>
        <a:xfrm>
          <a:off x="2219324" y="31608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47624</xdr:colOff>
      <xdr:row>9</xdr:row>
      <xdr:rowOff>179541</xdr:rowOff>
    </xdr:from>
    <xdr:ext cx="936000" cy="336240"/>
    <xdr:sp macro="" textlink="" fLocksText="0">
      <xdr:nvSpPr>
        <xdr:cNvPr id="54" name="Gefaltete Eck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/>
      </xdr:nvSpPr>
      <xdr:spPr>
        <a:xfrm>
          <a:off x="9172574" y="21893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923924</xdr:colOff>
      <xdr:row>12</xdr:row>
      <xdr:rowOff>170016</xdr:rowOff>
    </xdr:from>
    <xdr:ext cx="936000" cy="336240"/>
    <xdr:sp macro="" textlink="" fLocksText="0">
      <xdr:nvSpPr>
        <xdr:cNvPr id="55" name="Gefaltete Eck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/>
      </xdr:nvSpPr>
      <xdr:spPr>
        <a:xfrm>
          <a:off x="8124824" y="28084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123824</xdr:colOff>
      <xdr:row>16</xdr:row>
      <xdr:rowOff>122391</xdr:rowOff>
    </xdr:from>
    <xdr:ext cx="936000" cy="336240"/>
    <xdr:sp macro="" textlink="" fLocksText="0">
      <xdr:nvSpPr>
        <xdr:cNvPr id="56" name="Gefaltete Eck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/>
      </xdr:nvSpPr>
      <xdr:spPr>
        <a:xfrm>
          <a:off x="10210799" y="35990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161924</xdr:colOff>
      <xdr:row>6</xdr:row>
      <xdr:rowOff>208116</xdr:rowOff>
    </xdr:from>
    <xdr:ext cx="936000" cy="336240"/>
    <xdr:sp macro="" textlink="" fLocksText="0">
      <xdr:nvSpPr>
        <xdr:cNvPr id="57" name="Gefaltete Eck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/>
      </xdr:nvSpPr>
      <xdr:spPr>
        <a:xfrm>
          <a:off x="10248899" y="15892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66674</xdr:colOff>
      <xdr:row>18</xdr:row>
      <xdr:rowOff>74766</xdr:rowOff>
    </xdr:from>
    <xdr:ext cx="936000" cy="336240"/>
    <xdr:sp macro="" textlink="" fLocksText="0">
      <xdr:nvSpPr>
        <xdr:cNvPr id="58" name="Gefaltete Ecke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/>
      </xdr:nvSpPr>
      <xdr:spPr>
        <a:xfrm>
          <a:off x="9191624" y="39704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9</xdr:col>
      <xdr:colOff>66674</xdr:colOff>
      <xdr:row>20</xdr:row>
      <xdr:rowOff>93816</xdr:rowOff>
    </xdr:from>
    <xdr:ext cx="936000" cy="336240"/>
    <xdr:sp macro="" textlink="" fLocksText="0">
      <xdr:nvSpPr>
        <xdr:cNvPr id="59" name="Gefaltete Ecke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/>
      </xdr:nvSpPr>
      <xdr:spPr>
        <a:xfrm>
          <a:off x="8229599" y="44086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238124</xdr:colOff>
      <xdr:row>20</xdr:row>
      <xdr:rowOff>208116</xdr:rowOff>
    </xdr:from>
    <xdr:ext cx="936000" cy="336240"/>
    <xdr:sp macro="" textlink="" fLocksText="0">
      <xdr:nvSpPr>
        <xdr:cNvPr id="60" name="Gefaltete Eck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/>
      </xdr:nvSpPr>
      <xdr:spPr>
        <a:xfrm>
          <a:off x="10325099" y="45229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85724</xdr:colOff>
      <xdr:row>24</xdr:row>
      <xdr:rowOff>198591</xdr:rowOff>
    </xdr:from>
    <xdr:ext cx="936000" cy="336240"/>
    <xdr:sp macro="" textlink="" fLocksText="0">
      <xdr:nvSpPr>
        <xdr:cNvPr id="61" name="Gefaltete Eck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/>
      </xdr:nvSpPr>
      <xdr:spPr>
        <a:xfrm>
          <a:off x="10172699" y="53516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485774</xdr:colOff>
      <xdr:row>13</xdr:row>
      <xdr:rowOff>36666</xdr:rowOff>
    </xdr:from>
    <xdr:ext cx="936000" cy="336240"/>
    <xdr:sp macro="" textlink="" fLocksText="0">
      <xdr:nvSpPr>
        <xdr:cNvPr id="62" name="Gefaltete Eck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/>
      </xdr:nvSpPr>
      <xdr:spPr>
        <a:xfrm>
          <a:off x="9610724" y="28846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152399</xdr:colOff>
      <xdr:row>27</xdr:row>
      <xdr:rowOff>179541</xdr:rowOff>
    </xdr:from>
    <xdr:ext cx="936000" cy="336240"/>
    <xdr:sp macro="" textlink="" fLocksText="0">
      <xdr:nvSpPr>
        <xdr:cNvPr id="63" name="Gefaltete Ecke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/>
      </xdr:nvSpPr>
      <xdr:spPr>
        <a:xfrm>
          <a:off x="1581149" y="59612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695324</xdr:colOff>
      <xdr:row>21</xdr:row>
      <xdr:rowOff>189066</xdr:rowOff>
    </xdr:from>
    <xdr:ext cx="936000" cy="336240"/>
    <xdr:sp macro="" textlink="" fLocksText="0">
      <xdr:nvSpPr>
        <xdr:cNvPr id="64" name="Gefaltete Ecke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/>
      </xdr:nvSpPr>
      <xdr:spPr>
        <a:xfrm>
          <a:off x="4048124" y="47134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361949</xdr:colOff>
      <xdr:row>25</xdr:row>
      <xdr:rowOff>46191</xdr:rowOff>
    </xdr:from>
    <xdr:ext cx="936000" cy="336240"/>
    <xdr:sp macro="" textlink="" fLocksText="0">
      <xdr:nvSpPr>
        <xdr:cNvPr id="65" name="Gefaltete Eck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/>
      </xdr:nvSpPr>
      <xdr:spPr>
        <a:xfrm>
          <a:off x="2752724" y="54087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857249</xdr:colOff>
      <xdr:row>25</xdr:row>
      <xdr:rowOff>122391</xdr:rowOff>
    </xdr:from>
    <xdr:ext cx="936000" cy="336240"/>
    <xdr:sp macro="" textlink="" fLocksText="0">
      <xdr:nvSpPr>
        <xdr:cNvPr id="66" name="Gefaltete Eck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/>
      </xdr:nvSpPr>
      <xdr:spPr>
        <a:xfrm>
          <a:off x="4210049" y="54849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47624</xdr:colOff>
      <xdr:row>27</xdr:row>
      <xdr:rowOff>179541</xdr:rowOff>
    </xdr:from>
    <xdr:ext cx="936000" cy="336240"/>
    <xdr:sp macro="" textlink="" fLocksText="0">
      <xdr:nvSpPr>
        <xdr:cNvPr id="67" name="Gefaltete Eck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/>
      </xdr:nvSpPr>
      <xdr:spPr>
        <a:xfrm>
          <a:off x="3400424" y="59612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171449</xdr:colOff>
      <xdr:row>28</xdr:row>
      <xdr:rowOff>17616</xdr:rowOff>
    </xdr:from>
    <xdr:ext cx="936000" cy="336240"/>
    <xdr:sp macro="" textlink="" fLocksText="0">
      <xdr:nvSpPr>
        <xdr:cNvPr id="68" name="Gefaltete Eck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/>
      </xdr:nvSpPr>
      <xdr:spPr>
        <a:xfrm>
          <a:off x="5448299" y="60088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666749</xdr:colOff>
      <xdr:row>22</xdr:row>
      <xdr:rowOff>36666</xdr:rowOff>
    </xdr:from>
    <xdr:ext cx="936000" cy="336240"/>
    <xdr:sp macro="" textlink="" fLocksText="0">
      <xdr:nvSpPr>
        <xdr:cNvPr id="69" name="Gefaltete Eck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/>
      </xdr:nvSpPr>
      <xdr:spPr>
        <a:xfrm>
          <a:off x="6905624" y="47705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409574</xdr:colOff>
      <xdr:row>27</xdr:row>
      <xdr:rowOff>179541</xdr:rowOff>
    </xdr:from>
    <xdr:ext cx="936000" cy="336240"/>
    <xdr:sp macro="" textlink="" fLocksText="0">
      <xdr:nvSpPr>
        <xdr:cNvPr id="70" name="Gefaltete Eck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/>
      </xdr:nvSpPr>
      <xdr:spPr>
        <a:xfrm>
          <a:off x="6648449" y="59612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695324</xdr:colOff>
      <xdr:row>25</xdr:row>
      <xdr:rowOff>17616</xdr:rowOff>
    </xdr:from>
    <xdr:ext cx="936000" cy="336240"/>
    <xdr:sp macro="" textlink="" fLocksText="0">
      <xdr:nvSpPr>
        <xdr:cNvPr id="71" name="Gefaltete Eck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/>
      </xdr:nvSpPr>
      <xdr:spPr>
        <a:xfrm>
          <a:off x="7896224" y="53801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342899</xdr:colOff>
      <xdr:row>28</xdr:row>
      <xdr:rowOff>17616</xdr:rowOff>
    </xdr:from>
    <xdr:ext cx="936000" cy="336240"/>
    <xdr:sp macro="" textlink="" fLocksText="0">
      <xdr:nvSpPr>
        <xdr:cNvPr id="72" name="Gefaltete Ecke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/>
      </xdr:nvSpPr>
      <xdr:spPr>
        <a:xfrm>
          <a:off x="9467849" y="60088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9</xdr:col>
      <xdr:colOff>152399</xdr:colOff>
      <xdr:row>27</xdr:row>
      <xdr:rowOff>103341</xdr:rowOff>
    </xdr:from>
    <xdr:ext cx="936000" cy="336240"/>
    <xdr:sp macro="" textlink="" fLocksText="0">
      <xdr:nvSpPr>
        <xdr:cNvPr id="73" name="Gefaltete Ecke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/>
      </xdr:nvSpPr>
      <xdr:spPr>
        <a:xfrm>
          <a:off x="8315324" y="58850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238124</xdr:colOff>
      <xdr:row>30</xdr:row>
      <xdr:rowOff>189066</xdr:rowOff>
    </xdr:from>
    <xdr:ext cx="936000" cy="336240"/>
    <xdr:sp macro="" textlink="" fLocksText="0">
      <xdr:nvSpPr>
        <xdr:cNvPr id="74" name="Gefaltete Ecke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/>
      </xdr:nvSpPr>
      <xdr:spPr>
        <a:xfrm>
          <a:off x="704849" y="65993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419099</xdr:colOff>
      <xdr:row>34</xdr:row>
      <xdr:rowOff>46191</xdr:rowOff>
    </xdr:from>
    <xdr:ext cx="936000" cy="336240"/>
    <xdr:sp macro="" textlink="" fLocksText="0">
      <xdr:nvSpPr>
        <xdr:cNvPr id="75" name="Gefaltete Ecke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/>
      </xdr:nvSpPr>
      <xdr:spPr>
        <a:xfrm>
          <a:off x="885824" y="72947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676274</xdr:colOff>
      <xdr:row>34</xdr:row>
      <xdr:rowOff>160491</xdr:rowOff>
    </xdr:from>
    <xdr:ext cx="936000" cy="336240"/>
    <xdr:sp macro="" textlink="" fLocksText="0">
      <xdr:nvSpPr>
        <xdr:cNvPr id="76" name="Gefaltete Ecke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/>
      </xdr:nvSpPr>
      <xdr:spPr>
        <a:xfrm>
          <a:off x="3067049" y="74090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342899</xdr:colOff>
      <xdr:row>32</xdr:row>
      <xdr:rowOff>55716</xdr:rowOff>
    </xdr:from>
    <xdr:ext cx="936000" cy="336240"/>
    <xdr:sp macro="" textlink="" fLocksText="0">
      <xdr:nvSpPr>
        <xdr:cNvPr id="77" name="Gefaltete Eck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/>
      </xdr:nvSpPr>
      <xdr:spPr>
        <a:xfrm>
          <a:off x="1771649" y="68851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114299</xdr:colOff>
      <xdr:row>34</xdr:row>
      <xdr:rowOff>55716</xdr:rowOff>
    </xdr:from>
    <xdr:ext cx="936000" cy="336240"/>
    <xdr:sp macro="" textlink="" fLocksText="0">
      <xdr:nvSpPr>
        <xdr:cNvPr id="78" name="Gefaltete Eck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/>
      </xdr:nvSpPr>
      <xdr:spPr>
        <a:xfrm>
          <a:off x="4429124" y="73042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504824</xdr:colOff>
      <xdr:row>30</xdr:row>
      <xdr:rowOff>170016</xdr:rowOff>
    </xdr:from>
    <xdr:ext cx="936000" cy="336240"/>
    <xdr:sp macro="" textlink="" fLocksText="0">
      <xdr:nvSpPr>
        <xdr:cNvPr id="79" name="Gefaltete Eck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/>
      </xdr:nvSpPr>
      <xdr:spPr>
        <a:xfrm>
          <a:off x="3857624" y="65803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676274</xdr:colOff>
      <xdr:row>32</xdr:row>
      <xdr:rowOff>27141</xdr:rowOff>
    </xdr:from>
    <xdr:ext cx="936000" cy="336240"/>
    <xdr:sp macro="" textlink="" fLocksText="0">
      <xdr:nvSpPr>
        <xdr:cNvPr id="80" name="Gefaltete Eck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/>
      </xdr:nvSpPr>
      <xdr:spPr>
        <a:xfrm>
          <a:off x="4991099" y="68565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425431</xdr:colOff>
      <xdr:row>31</xdr:row>
      <xdr:rowOff>161925</xdr:rowOff>
    </xdr:from>
    <xdr:ext cx="853439" cy="609013"/>
    <xdr:sp macro="" textlink="' '!A190">
      <xdr:nvSpPr>
        <xdr:cNvPr id="81" name="Textfeld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 txBox="1"/>
      </xdr:nvSpPr>
      <xdr:spPr>
        <a:xfrm>
          <a:off x="2816206" y="6781800"/>
          <a:ext cx="85343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81213A10-D5D2-48AD-A8CD-7876469CAB36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fears
frustrations
obstacles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8</xdr:col>
      <xdr:colOff>772651</xdr:colOff>
      <xdr:row>32</xdr:row>
      <xdr:rowOff>19050</xdr:rowOff>
    </xdr:from>
    <xdr:ext cx="1349087" cy="609013"/>
    <xdr:sp macro="" textlink="' '!A191">
      <xdr:nvSpPr>
        <xdr:cNvPr id="82" name="Textfeld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 txBox="1"/>
      </xdr:nvSpPr>
      <xdr:spPr>
        <a:xfrm>
          <a:off x="7973551" y="6848475"/>
          <a:ext cx="134908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CA33CF9E-BEB7-4068-83E6-FA437BDCDCE6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wants/needs
measures of success
obstacles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819149</xdr:colOff>
      <xdr:row>30</xdr:row>
      <xdr:rowOff>198591</xdr:rowOff>
    </xdr:from>
    <xdr:ext cx="936000" cy="336240"/>
    <xdr:sp macro="" textlink="" fLocksText="0">
      <xdr:nvSpPr>
        <xdr:cNvPr id="83" name="Gefaltete Eck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/>
      </xdr:nvSpPr>
      <xdr:spPr>
        <a:xfrm>
          <a:off x="6095999" y="66089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933449</xdr:colOff>
      <xdr:row>33</xdr:row>
      <xdr:rowOff>208116</xdr:rowOff>
    </xdr:from>
    <xdr:ext cx="936000" cy="336240"/>
    <xdr:sp macro="" textlink="" fLocksText="0">
      <xdr:nvSpPr>
        <xdr:cNvPr id="84" name="Gefaltete Ecke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/>
      </xdr:nvSpPr>
      <xdr:spPr>
        <a:xfrm>
          <a:off x="6210299" y="72470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28574</xdr:colOff>
      <xdr:row>31</xdr:row>
      <xdr:rowOff>27141</xdr:rowOff>
    </xdr:from>
    <xdr:ext cx="936000" cy="336240"/>
    <xdr:sp macro="" textlink="" fLocksText="0">
      <xdr:nvSpPr>
        <xdr:cNvPr id="85" name="Gefaltete Ecke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/>
      </xdr:nvSpPr>
      <xdr:spPr>
        <a:xfrm>
          <a:off x="7229474" y="66470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400049</xdr:colOff>
      <xdr:row>31</xdr:row>
      <xdr:rowOff>17616</xdr:rowOff>
    </xdr:from>
    <xdr:ext cx="936000" cy="336240"/>
    <xdr:sp macro="" textlink="" fLocksText="0">
      <xdr:nvSpPr>
        <xdr:cNvPr id="86" name="Gefaltete Ecke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/>
      </xdr:nvSpPr>
      <xdr:spPr>
        <a:xfrm>
          <a:off x="9524999" y="66374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209549</xdr:colOff>
      <xdr:row>34</xdr:row>
      <xdr:rowOff>74766</xdr:rowOff>
    </xdr:from>
    <xdr:ext cx="936000" cy="336240"/>
    <xdr:sp macro="" textlink="" fLocksText="0">
      <xdr:nvSpPr>
        <xdr:cNvPr id="87" name="Gefaltete Ecke 86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/>
      </xdr:nvSpPr>
      <xdr:spPr>
        <a:xfrm>
          <a:off x="10296524" y="73232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9</xdr:col>
      <xdr:colOff>952499</xdr:colOff>
      <xdr:row>34</xdr:row>
      <xdr:rowOff>112866</xdr:rowOff>
    </xdr:from>
    <xdr:ext cx="936000" cy="336240"/>
    <xdr:sp macro="" textlink="" fLocksText="0">
      <xdr:nvSpPr>
        <xdr:cNvPr id="88" name="Gefaltete Ecke 87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/>
      </xdr:nvSpPr>
      <xdr:spPr>
        <a:xfrm>
          <a:off x="9115424" y="73613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352424</xdr:colOff>
      <xdr:row>34</xdr:row>
      <xdr:rowOff>179541</xdr:rowOff>
    </xdr:from>
    <xdr:ext cx="936000" cy="336240"/>
    <xdr:sp macro="" textlink="" fLocksText="0">
      <xdr:nvSpPr>
        <xdr:cNvPr id="89" name="Gefaltete Ecke 88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/>
      </xdr:nvSpPr>
      <xdr:spPr>
        <a:xfrm>
          <a:off x="7553324" y="7428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 editAs="oneCell">
    <xdr:from>
      <xdr:col>0</xdr:col>
      <xdr:colOff>76200</xdr:colOff>
      <xdr:row>0</xdr:row>
      <xdr:rowOff>95250</xdr:rowOff>
    </xdr:from>
    <xdr:to>
      <xdr:col>0</xdr:col>
      <xdr:colOff>400200</xdr:colOff>
      <xdr:row>0</xdr:row>
      <xdr:rowOff>420715</xdr:rowOff>
    </xdr:to>
    <xdr:grpSp>
      <xdr:nvGrpSpPr>
        <xdr:cNvPr id="90" name="Gruppieren 8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GrpSpPr/>
      </xdr:nvGrpSpPr>
      <xdr:grpSpPr>
        <a:xfrm>
          <a:off x="76200" y="95250"/>
          <a:ext cx="324000" cy="325465"/>
          <a:chOff x="9191625" y="3009900"/>
          <a:chExt cx="324000" cy="325465"/>
        </a:xfrm>
      </xdr:grpSpPr>
      <xdr:sp macro="" textlink="">
        <xdr:nvSpPr>
          <xdr:cNvPr id="91" name="Rechteck 90">
            <a:extLst>
              <a:ext uri="{FF2B5EF4-FFF2-40B4-BE49-F238E27FC236}">
                <a16:creationId xmlns:a16="http://schemas.microsoft.com/office/drawing/2014/main" id="{00000000-0008-0000-0A00-00005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2" name="Pfeil nach links 91">
            <a:extLst>
              <a:ext uri="{FF2B5EF4-FFF2-40B4-BE49-F238E27FC236}">
                <a16:creationId xmlns:a16="http://schemas.microsoft.com/office/drawing/2014/main" id="{00000000-0008-0000-0A00-00005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933437</xdr:colOff>
          <xdr:row>0</xdr:row>
          <xdr:rowOff>0</xdr:rowOff>
        </xdr:from>
        <xdr:to>
          <xdr:col>11</xdr:col>
          <xdr:colOff>1252525</xdr:colOff>
          <xdr:row>0</xdr:row>
          <xdr:rowOff>533400</xdr:rowOff>
        </xdr:to>
        <xdr:pic>
          <xdr:nvPicPr>
            <xdr:cNvPr id="93" name="Grafik 45">
              <a:extLst>
                <a:ext uri="{FF2B5EF4-FFF2-40B4-BE49-F238E27FC236}">
                  <a16:creationId xmlns:a16="http://schemas.microsoft.com/office/drawing/2014/main" id="{00000000-0008-0000-0A00-00005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94275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9701200" y="0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173404</xdr:colOff>
      <xdr:row>40</xdr:row>
      <xdr:rowOff>104357</xdr:rowOff>
    </xdr:from>
    <xdr:to>
      <xdr:col>5</xdr:col>
      <xdr:colOff>1825750</xdr:colOff>
      <xdr:row>48</xdr:row>
      <xdr:rowOff>196157</xdr:rowOff>
    </xdr:to>
    <xdr:sp macro="" textlink="">
      <xdr:nvSpPr>
        <xdr:cNvPr id="28" name="Rechteck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>
          <a:spLocks noChangeAspect="1"/>
        </xdr:cNvSpPr>
      </xdr:nvSpPr>
      <xdr:spPr>
        <a:xfrm>
          <a:off x="3659554" y="9972257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40</xdr:row>
      <xdr:rowOff>104357</xdr:rowOff>
    </xdr:from>
    <xdr:to>
      <xdr:col>4</xdr:col>
      <xdr:colOff>127655</xdr:colOff>
      <xdr:row>48</xdr:row>
      <xdr:rowOff>196157</xdr:rowOff>
    </xdr:to>
    <xdr:sp macro="" textlink="">
      <xdr:nvSpPr>
        <xdr:cNvPr id="29" name="Rechteck 28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>
          <a:spLocks noChangeAspect="1"/>
        </xdr:cNvSpPr>
      </xdr:nvSpPr>
      <xdr:spPr>
        <a:xfrm>
          <a:off x="1132784" y="9972257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40</xdr:row>
      <xdr:rowOff>104358</xdr:rowOff>
    </xdr:from>
    <xdr:to>
      <xdr:col>8</xdr:col>
      <xdr:colOff>34982</xdr:colOff>
      <xdr:row>48</xdr:row>
      <xdr:rowOff>196158</xdr:rowOff>
    </xdr:to>
    <xdr:sp macro="" textlink="">
      <xdr:nvSpPr>
        <xdr:cNvPr id="30" name="Rechteck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>
          <a:spLocks noChangeAspect="1"/>
        </xdr:cNvSpPr>
      </xdr:nvSpPr>
      <xdr:spPr>
        <a:xfrm>
          <a:off x="6183611" y="9972258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173404</xdr:colOff>
      <xdr:row>31</xdr:row>
      <xdr:rowOff>137903</xdr:rowOff>
    </xdr:from>
    <xdr:to>
      <xdr:col>5</xdr:col>
      <xdr:colOff>1825750</xdr:colOff>
      <xdr:row>40</xdr:row>
      <xdr:rowOff>58253</xdr:rowOff>
    </xdr:to>
    <xdr:sp macro="" textlink="">
      <xdr:nvSpPr>
        <xdr:cNvPr id="31" name="Rechteck 30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>
          <a:spLocks noChangeAspect="1"/>
        </xdr:cNvSpPr>
      </xdr:nvSpPr>
      <xdr:spPr>
        <a:xfrm>
          <a:off x="3659554" y="14111078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31</xdr:row>
      <xdr:rowOff>137903</xdr:rowOff>
    </xdr:from>
    <xdr:to>
      <xdr:col>4</xdr:col>
      <xdr:colOff>127655</xdr:colOff>
      <xdr:row>40</xdr:row>
      <xdr:rowOff>58253</xdr:rowOff>
    </xdr:to>
    <xdr:sp macro="" textlink="">
      <xdr:nvSpPr>
        <xdr:cNvPr id="32" name="Rechteck 31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>
          <a:spLocks noChangeAspect="1"/>
        </xdr:cNvSpPr>
      </xdr:nvSpPr>
      <xdr:spPr>
        <a:xfrm>
          <a:off x="1132784" y="7519778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31</xdr:row>
      <xdr:rowOff>137904</xdr:rowOff>
    </xdr:from>
    <xdr:to>
      <xdr:col>8</xdr:col>
      <xdr:colOff>34982</xdr:colOff>
      <xdr:row>40</xdr:row>
      <xdr:rowOff>58254</xdr:rowOff>
    </xdr:to>
    <xdr:sp macro="" textlink="">
      <xdr:nvSpPr>
        <xdr:cNvPr id="33" name="Rechteck 32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>
          <a:spLocks noChangeAspect="1"/>
        </xdr:cNvSpPr>
      </xdr:nvSpPr>
      <xdr:spPr>
        <a:xfrm>
          <a:off x="6183611" y="14111079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173404</xdr:colOff>
      <xdr:row>22</xdr:row>
      <xdr:rowOff>114299</xdr:rowOff>
    </xdr:from>
    <xdr:to>
      <xdr:col>5</xdr:col>
      <xdr:colOff>1825750</xdr:colOff>
      <xdr:row>31</xdr:row>
      <xdr:rowOff>91799</xdr:rowOff>
    </xdr:to>
    <xdr:sp macro="" textlink="">
      <xdr:nvSpPr>
        <xdr:cNvPr id="34" name="Rechteck 33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>
          <a:spLocks noChangeAspect="1"/>
        </xdr:cNvSpPr>
      </xdr:nvSpPr>
      <xdr:spPr>
        <a:xfrm>
          <a:off x="3659554" y="12372974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22</xdr:row>
      <xdr:rowOff>114299</xdr:rowOff>
    </xdr:from>
    <xdr:to>
      <xdr:col>4</xdr:col>
      <xdr:colOff>127655</xdr:colOff>
      <xdr:row>31</xdr:row>
      <xdr:rowOff>91799</xdr:rowOff>
    </xdr:to>
    <xdr:sp macro="" textlink="">
      <xdr:nvSpPr>
        <xdr:cNvPr id="35" name="Rechteck 34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>
          <a:spLocks noChangeAspect="1"/>
        </xdr:cNvSpPr>
      </xdr:nvSpPr>
      <xdr:spPr>
        <a:xfrm>
          <a:off x="1132784" y="5781674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22</xdr:row>
      <xdr:rowOff>114300</xdr:rowOff>
    </xdr:from>
    <xdr:to>
      <xdr:col>8</xdr:col>
      <xdr:colOff>34982</xdr:colOff>
      <xdr:row>31</xdr:row>
      <xdr:rowOff>91800</xdr:rowOff>
    </xdr:to>
    <xdr:sp macro="" textlink="">
      <xdr:nvSpPr>
        <xdr:cNvPr id="36" name="Rechteck 35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Aspect="1"/>
        </xdr:cNvSpPr>
      </xdr:nvSpPr>
      <xdr:spPr>
        <a:xfrm>
          <a:off x="6183611" y="12372975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224265</xdr:colOff>
      <xdr:row>22</xdr:row>
      <xdr:rowOff>104774</xdr:rowOff>
    </xdr:from>
    <xdr:to>
      <xdr:col>1</xdr:col>
      <xdr:colOff>100326</xdr:colOff>
      <xdr:row>49</xdr:row>
      <xdr:rowOff>57152</xdr:rowOff>
    </xdr:to>
    <xdr:sp macro="" textlink="' '!A93">
      <xdr:nvSpPr>
        <xdr:cNvPr id="20" name="Textfeld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/>
      </xdr:nvSpPr>
      <xdr:spPr>
        <a:xfrm rot="16200000">
          <a:off x="-2223719" y="8934508"/>
          <a:ext cx="523875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590E9E55-F831-4F64-8B91-C68E852AA958}" type="TxLink">
            <a:rPr lang="de-CH" sz="1600" b="1"/>
            <a:pPr algn="ctr"/>
            <a:t>Probabilité d'occurrence</a:t>
          </a:fld>
          <a:endParaRPr lang="de-CH" sz="1600" b="1"/>
        </a:p>
      </xdr:txBody>
    </xdr:sp>
    <xdr:clientData/>
  </xdr:twoCellAnchor>
  <xdr:twoCellAnchor editAs="oneCell">
    <xdr:from>
      <xdr:col>2</xdr:col>
      <xdr:colOff>342901</xdr:colOff>
      <xdr:row>51</xdr:row>
      <xdr:rowOff>169209</xdr:rowOff>
    </xdr:from>
    <xdr:to>
      <xdr:col>8</xdr:col>
      <xdr:colOff>85726</xdr:colOff>
      <xdr:row>53</xdr:row>
      <xdr:rowOff>130995</xdr:rowOff>
    </xdr:to>
    <xdr:sp macro="" textlink="' '!A97">
      <xdr:nvSpPr>
        <xdr:cNvPr id="21" name="Textfeld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 txBox="1"/>
      </xdr:nvSpPr>
      <xdr:spPr>
        <a:xfrm>
          <a:off x="1114426" y="12218334"/>
          <a:ext cx="76009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D361E393-E969-47E7-986C-E5B28DB6E48D}" type="TxLink">
            <a:rPr lang="de-CH" sz="1600" b="1"/>
            <a:pPr algn="ctr"/>
            <a:t>Étendue des dégâts</a:t>
          </a:fld>
          <a:endParaRPr lang="de-CH" sz="1600" b="1"/>
        </a:p>
      </xdr:txBody>
    </xdr:sp>
    <xdr:clientData/>
  </xdr:twoCellAnchor>
  <xdr:twoCellAnchor editAs="oneCell">
    <xdr:from>
      <xdr:col>1</xdr:col>
      <xdr:colOff>94499</xdr:colOff>
      <xdr:row>22</xdr:row>
      <xdr:rowOff>133350</xdr:rowOff>
    </xdr:from>
    <xdr:to>
      <xdr:col>2</xdr:col>
      <xdr:colOff>101195</xdr:colOff>
      <xdr:row>27</xdr:row>
      <xdr:rowOff>133349</xdr:rowOff>
    </xdr:to>
    <xdr:sp macro="" textlink="' '!A94">
      <xdr:nvSpPr>
        <xdr:cNvPr id="22" name="Textfeld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 txBox="1"/>
      </xdr:nvSpPr>
      <xdr:spPr>
        <a:xfrm rot="16200000">
          <a:off x="240722" y="6835602"/>
          <a:ext cx="95249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793A3AD-497F-400B-87B6-F8005DB08AB7}" type="TxLink">
            <a:rPr lang="de-CH" sz="1400" b="0"/>
            <a:pPr algn="ctr"/>
            <a:t>élevée</a:t>
          </a:fld>
          <a:endParaRPr lang="de-CH" sz="1400" b="0"/>
        </a:p>
      </xdr:txBody>
    </xdr:sp>
    <xdr:clientData/>
  </xdr:twoCellAnchor>
  <xdr:twoCellAnchor editAs="oneCell">
    <xdr:from>
      <xdr:col>1</xdr:col>
      <xdr:colOff>94504</xdr:colOff>
      <xdr:row>44</xdr:row>
      <xdr:rowOff>104775</xdr:rowOff>
    </xdr:from>
    <xdr:to>
      <xdr:col>2</xdr:col>
      <xdr:colOff>101200</xdr:colOff>
      <xdr:row>49</xdr:row>
      <xdr:rowOff>57150</xdr:rowOff>
    </xdr:to>
    <xdr:sp macro="" textlink="' '!A96">
      <xdr:nvSpPr>
        <xdr:cNvPr id="23" name="Textfeld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 txBox="1"/>
      </xdr:nvSpPr>
      <xdr:spPr>
        <a:xfrm rot="16200000">
          <a:off x="240727" y="11093277"/>
          <a:ext cx="9525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9A6B5979-172E-4330-88C7-F9077EE8AE73}" type="TxLink">
            <a:rPr lang="de-CH" sz="1400" b="0"/>
            <a:pPr algn="ctr"/>
            <a:t>faible</a:t>
          </a:fld>
          <a:endParaRPr lang="de-CH" sz="1400" b="0"/>
        </a:p>
      </xdr:txBody>
    </xdr:sp>
    <xdr:clientData/>
  </xdr:twoCellAnchor>
  <xdr:twoCellAnchor editAs="oneCell">
    <xdr:from>
      <xdr:col>7</xdr:col>
      <xdr:colOff>400050</xdr:colOff>
      <xdr:row>50</xdr:row>
      <xdr:rowOff>114869</xdr:rowOff>
    </xdr:from>
    <xdr:to>
      <xdr:col>8</xdr:col>
      <xdr:colOff>95250</xdr:colOff>
      <xdr:row>52</xdr:row>
      <xdr:rowOff>45365</xdr:rowOff>
    </xdr:to>
    <xdr:sp macro="" textlink="' '!A94">
      <xdr:nvSpPr>
        <xdr:cNvPr id="24" name="Textfeld 23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 txBox="1"/>
      </xdr:nvSpPr>
      <xdr:spPr>
        <a:xfrm>
          <a:off x="7296150" y="11973494"/>
          <a:ext cx="14287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A6C8FDB9-875E-491B-8B4D-DB081B59F70E}" type="TxLink">
            <a:rPr lang="de-CH" sz="1400" b="0"/>
            <a:pPr algn="ctr"/>
            <a:t>élevée</a:t>
          </a:fld>
          <a:endParaRPr lang="de-CH" sz="1400" b="0"/>
        </a:p>
      </xdr:txBody>
    </xdr:sp>
    <xdr:clientData/>
  </xdr:twoCellAnchor>
  <xdr:twoCellAnchor editAs="oneCell">
    <xdr:from>
      <xdr:col>2</xdr:col>
      <xdr:colOff>304800</xdr:colOff>
      <xdr:row>50</xdr:row>
      <xdr:rowOff>114869</xdr:rowOff>
    </xdr:from>
    <xdr:to>
      <xdr:col>2</xdr:col>
      <xdr:colOff>1685925</xdr:colOff>
      <xdr:row>52</xdr:row>
      <xdr:rowOff>45365</xdr:rowOff>
    </xdr:to>
    <xdr:sp macro="" textlink="' '!A96">
      <xdr:nvSpPr>
        <xdr:cNvPr id="25" name="Textfeld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/>
      </xdr:nvSpPr>
      <xdr:spPr>
        <a:xfrm>
          <a:off x="1076325" y="11973494"/>
          <a:ext cx="13811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83A8F04D-2197-4039-8C46-B0008972DD21}" type="TxLink">
            <a:rPr lang="de-CH" sz="1400" b="0"/>
            <a:pPr algn="ctr"/>
            <a:t>faible</a:t>
          </a:fld>
          <a:endParaRPr lang="de-CH" sz="1400" b="0"/>
        </a:p>
      </xdr:txBody>
    </xdr:sp>
    <xdr:clientData/>
  </xdr:twoCellAnchor>
  <xdr:twoCellAnchor editAs="oneCell">
    <xdr:from>
      <xdr:col>5</xdr:col>
      <xdr:colOff>362367</xdr:colOff>
      <xdr:row>50</xdr:row>
      <xdr:rowOff>114869</xdr:rowOff>
    </xdr:from>
    <xdr:to>
      <xdr:col>5</xdr:col>
      <xdr:colOff>982537</xdr:colOff>
      <xdr:row>52</xdr:row>
      <xdr:rowOff>45365</xdr:rowOff>
    </xdr:to>
    <xdr:sp macro="" textlink="' '!A95">
      <xdr:nvSpPr>
        <xdr:cNvPr id="26" name="Textfeld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 txBox="1"/>
      </xdr:nvSpPr>
      <xdr:spPr>
        <a:xfrm>
          <a:off x="4677192" y="11973494"/>
          <a:ext cx="62017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0A47CA1-CBB4-485B-A1D9-78BE76C65FD1}" type="TxLink">
            <a:rPr lang="de-CH" sz="1400" b="0"/>
            <a:pPr algn="ctr"/>
            <a:t>moyenne</a:t>
          </a:fld>
          <a:endParaRPr lang="de-CH" sz="1400" b="0"/>
        </a:p>
      </xdr:txBody>
    </xdr:sp>
    <xdr:clientData/>
  </xdr:twoCellAnchor>
  <xdr:twoCellAnchor editAs="oneCell">
    <xdr:from>
      <xdr:col>1</xdr:col>
      <xdr:colOff>94505</xdr:colOff>
      <xdr:row>32</xdr:row>
      <xdr:rowOff>123825</xdr:rowOff>
    </xdr:from>
    <xdr:to>
      <xdr:col>2</xdr:col>
      <xdr:colOff>101201</xdr:colOff>
      <xdr:row>40</xdr:row>
      <xdr:rowOff>0</xdr:rowOff>
    </xdr:to>
    <xdr:sp macro="" textlink="' '!A95">
      <xdr:nvSpPr>
        <xdr:cNvPr id="27" name="Textfeld 26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 txBox="1"/>
      </xdr:nvSpPr>
      <xdr:spPr>
        <a:xfrm rot="16200000">
          <a:off x="-11685" y="8983490"/>
          <a:ext cx="14573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7FE7408E-BD4E-4A7B-8428-C749697BCCA7}" type="TxLink">
            <a:rPr lang="de-CH" sz="1400" b="0"/>
            <a:pPr algn="ctr"/>
            <a:t>moyenne</a:t>
          </a:fld>
          <a:endParaRPr lang="de-CH" sz="1400" b="0"/>
        </a:p>
      </xdr:txBody>
    </xdr:sp>
    <xdr:clientData/>
  </xdr:twoCellAnchor>
  <xdr:twoCellAnchor editAs="oneCell">
    <xdr:from>
      <xdr:col>32</xdr:col>
      <xdr:colOff>300575</xdr:colOff>
      <xdr:row>16</xdr:row>
      <xdr:rowOff>141120</xdr:rowOff>
    </xdr:from>
    <xdr:to>
      <xdr:col>35</xdr:col>
      <xdr:colOff>350185</xdr:colOff>
      <xdr:row>23</xdr:row>
      <xdr:rowOff>113863</xdr:rowOff>
    </xdr:to>
    <xdr:grpSp>
      <xdr:nvGrpSpPr>
        <xdr:cNvPr id="37" name="Gruppieren 36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GrpSpPr/>
      </xdr:nvGrpSpPr>
      <xdr:grpSpPr>
        <a:xfrm rot="16200000">
          <a:off x="24422018" y="4579437"/>
          <a:ext cx="1603423" cy="2632790"/>
          <a:chOff x="5390423" y="3738354"/>
          <a:chExt cx="1893585" cy="999921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SpPr>
            <a:spLocks noChangeAspect="1"/>
          </xdr:cNvSpPr>
        </xdr:nvSpPr>
        <xdr:spPr>
          <a:xfrm>
            <a:off x="5419727" y="3738354"/>
            <a:ext cx="250562" cy="25200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>
            <a:spLocks noChangeAspect="1"/>
          </xdr:cNvSpPr>
        </xdr:nvSpPr>
        <xdr:spPr>
          <a:xfrm>
            <a:off x="5420199" y="4486275"/>
            <a:ext cx="250562" cy="252000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SpPr>
            <a:spLocks noChangeAspect="1"/>
          </xdr:cNvSpPr>
        </xdr:nvSpPr>
        <xdr:spPr>
          <a:xfrm>
            <a:off x="5419727" y="4105275"/>
            <a:ext cx="250562" cy="252000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' '!A98">
        <xdr:nvSpPr>
          <xdr:cNvPr id="41" name="Textfeld 40">
            <a:extLst>
              <a:ext uri="{FF2B5EF4-FFF2-40B4-BE49-F238E27FC236}">
                <a16:creationId xmlns:a16="http://schemas.microsoft.com/office/drawing/2014/main" id="{00000000-0008-0000-0B00-000029000000}"/>
              </a:ext>
            </a:extLst>
          </xdr:cNvPr>
          <xdr:cNvSpPr txBox="1"/>
        </xdr:nvSpPr>
        <xdr:spPr>
          <a:xfrm>
            <a:off x="5429503" y="3831642"/>
            <a:ext cx="1730725" cy="967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2455219B-7CCB-479F-8EBB-53EB1B59C06C}" type="TxLink">
              <a:rPr lang="de-CH" sz="1100"/>
              <a:pPr/>
              <a:t>Aucune action nécessaire</a:t>
            </a:fld>
            <a:endParaRPr lang="de-CH" sz="1100"/>
          </a:p>
        </xdr:txBody>
      </xdr:sp>
      <xdr:sp macro="" textlink="' '!A99">
        <xdr:nvSpPr>
          <xdr:cNvPr id="42" name="Textfeld 41">
            <a:extLst>
              <a:ext uri="{FF2B5EF4-FFF2-40B4-BE49-F238E27FC236}">
                <a16:creationId xmlns:a16="http://schemas.microsoft.com/office/drawing/2014/main" id="{00000000-0008-0000-0B00-00002A000000}"/>
              </a:ext>
            </a:extLst>
          </xdr:cNvPr>
          <xdr:cNvSpPr txBox="1"/>
        </xdr:nvSpPr>
        <xdr:spPr>
          <a:xfrm>
            <a:off x="5487239" y="4191715"/>
            <a:ext cx="1416916" cy="10047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38C86722-4BE2-4C64-8837-096B9A69CBF6}" type="TxLink">
              <a:rPr lang="de-CH" sz="1100"/>
              <a:pPr/>
              <a:t>Action nécessaire</a:t>
            </a:fld>
            <a:endParaRPr lang="de-CH" sz="1100"/>
          </a:p>
        </xdr:txBody>
      </xdr:sp>
      <xdr:sp macro="" textlink="' '!A100">
        <xdr:nvSpPr>
          <xdr:cNvPr id="43" name="Textfeld 42">
            <a:extLst>
              <a:ext uri="{FF2B5EF4-FFF2-40B4-BE49-F238E27FC236}">
                <a16:creationId xmlns:a16="http://schemas.microsoft.com/office/drawing/2014/main" id="{00000000-0008-0000-0B00-00002B000000}"/>
              </a:ext>
            </a:extLst>
          </xdr:cNvPr>
          <xdr:cNvSpPr txBox="1"/>
        </xdr:nvSpPr>
        <xdr:spPr>
          <a:xfrm>
            <a:off x="5390423" y="4574604"/>
            <a:ext cx="1893585" cy="967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0B08217B-D988-41BF-ACA6-265C229D1F55}" type="TxLink">
              <a:rPr lang="de-CH" sz="1100"/>
              <a:pPr/>
              <a:t>Action urgente</a:t>
            </a:fld>
            <a:endParaRPr lang="de-CH" sz="1100"/>
          </a:p>
        </xdr:txBody>
      </xdr:sp>
    </xdr:grpSp>
    <xdr:clientData/>
  </xdr:twoCellAnchor>
  <xdr:twoCellAnchor editAs="oneCell">
    <xdr:from>
      <xdr:col>8</xdr:col>
      <xdr:colOff>295275</xdr:colOff>
      <xdr:row>1</xdr:row>
      <xdr:rowOff>57150</xdr:rowOff>
    </xdr:from>
    <xdr:to>
      <xdr:col>9</xdr:col>
      <xdr:colOff>0</xdr:colOff>
      <xdr:row>1</xdr:row>
      <xdr:rowOff>229950</xdr:rowOff>
    </xdr:to>
    <xdr:grpSp>
      <xdr:nvGrpSpPr>
        <xdr:cNvPr id="54" name="Gruppieren 5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GrpSpPr/>
      </xdr:nvGrpSpPr>
      <xdr:grpSpPr>
        <a:xfrm>
          <a:off x="9164955" y="613410"/>
          <a:ext cx="184785" cy="172800"/>
          <a:chOff x="8105775" y="571500"/>
          <a:chExt cx="172800" cy="172800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0B00-00003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6" name="Textfeld 55">
            <a:extLst>
              <a:ext uri="{FF2B5EF4-FFF2-40B4-BE49-F238E27FC236}">
                <a16:creationId xmlns:a16="http://schemas.microsoft.com/office/drawing/2014/main" id="{00000000-0008-0000-0B00-00003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57" name="Gruppieren 5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58" name="Rechteck 57">
            <a:extLst>
              <a:ext uri="{FF2B5EF4-FFF2-40B4-BE49-F238E27FC236}">
                <a16:creationId xmlns:a16="http://schemas.microsoft.com/office/drawing/2014/main" id="{00000000-0008-0000-0B00-00003A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9" name="Grafik 5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B00-00003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53</xdr:row>
      <xdr:rowOff>0</xdr:rowOff>
    </xdr:from>
    <xdr:to>
      <xdr:col>0</xdr:col>
      <xdr:colOff>381150</xdr:colOff>
      <xdr:row>55</xdr:row>
      <xdr:rowOff>125440</xdr:rowOff>
    </xdr:to>
    <xdr:grpSp>
      <xdr:nvGrpSpPr>
        <xdr:cNvPr id="60" name="Gruppieren 5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GrpSpPr/>
      </xdr:nvGrpSpPr>
      <xdr:grpSpPr>
        <a:xfrm>
          <a:off x="57150" y="12298680"/>
          <a:ext cx="324000" cy="315940"/>
          <a:chOff x="66675" y="4972050"/>
          <a:chExt cx="324000" cy="325465"/>
        </a:xfrm>
      </xdr:grpSpPr>
      <xdr:sp macro="" textlink="">
        <xdr:nvSpPr>
          <xdr:cNvPr id="61" name="Rechteck 60">
            <a:extLst>
              <a:ext uri="{FF2B5EF4-FFF2-40B4-BE49-F238E27FC236}">
                <a16:creationId xmlns:a16="http://schemas.microsoft.com/office/drawing/2014/main" id="{00000000-0008-0000-0B00-00003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2" name="Pfeil nach oben 61">
            <a:extLst>
              <a:ext uri="{FF2B5EF4-FFF2-40B4-BE49-F238E27FC236}">
                <a16:creationId xmlns:a16="http://schemas.microsoft.com/office/drawing/2014/main" id="{00000000-0008-0000-0B00-00003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3</xdr:row>
      <xdr:rowOff>0</xdr:rowOff>
    </xdr:from>
    <xdr:to>
      <xdr:col>0</xdr:col>
      <xdr:colOff>381150</xdr:colOff>
      <xdr:row>3</xdr:row>
      <xdr:rowOff>325465</xdr:rowOff>
    </xdr:to>
    <xdr:grpSp>
      <xdr:nvGrpSpPr>
        <xdr:cNvPr id="63" name="Gruppieren 6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GrpSpPr/>
      </xdr:nvGrpSpPr>
      <xdr:grpSpPr>
        <a:xfrm>
          <a:off x="57150" y="929640"/>
          <a:ext cx="324000" cy="325465"/>
          <a:chOff x="12382500" y="2152650"/>
          <a:chExt cx="324000" cy="325465"/>
        </a:xfrm>
      </xdr:grpSpPr>
      <xdr:sp macro="" textlink="">
        <xdr:nvSpPr>
          <xdr:cNvPr id="64" name="Rechteck 63">
            <a:extLst>
              <a:ext uri="{FF2B5EF4-FFF2-40B4-BE49-F238E27FC236}">
                <a16:creationId xmlns:a16="http://schemas.microsoft.com/office/drawing/2014/main" id="{00000000-0008-0000-0B00-000040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5" name="Grafik 64">
            <a:extLst>
              <a:ext uri="{FF2B5EF4-FFF2-40B4-BE49-F238E27FC236}">
                <a16:creationId xmlns:a16="http://schemas.microsoft.com/office/drawing/2014/main" id="{00000000-0008-0000-0B00-00004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190499</xdr:colOff>
      <xdr:row>21</xdr:row>
      <xdr:rowOff>142875</xdr:rowOff>
    </xdr:from>
    <xdr:to>
      <xdr:col>11</xdr:col>
      <xdr:colOff>209550</xdr:colOff>
      <xdr:row>51</xdr:row>
      <xdr:rowOff>9523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466714</xdr:colOff>
          <xdr:row>0</xdr:row>
          <xdr:rowOff>19052</xdr:rowOff>
        </xdr:from>
        <xdr:to>
          <xdr:col>8</xdr:col>
          <xdr:colOff>495290</xdr:colOff>
          <xdr:row>0</xdr:row>
          <xdr:rowOff>552452</xdr:rowOff>
        </xdr:to>
        <xdr:pic>
          <xdr:nvPicPr>
            <xdr:cNvPr id="44" name="Grafik 45">
              <a:extLst>
                <a:ext uri="{FF2B5EF4-FFF2-40B4-BE49-F238E27FC236}">
                  <a16:creationId xmlns:a16="http://schemas.microsoft.com/office/drawing/2014/main" id="{00000000-0008-0000-0B00-00002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63849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7348527" y="19052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257175</xdr:colOff>
      <xdr:row>2</xdr:row>
      <xdr:rowOff>47625</xdr:rowOff>
    </xdr:from>
    <xdr:to>
      <xdr:col>9</xdr:col>
      <xdr:colOff>9525</xdr:colOff>
      <xdr:row>2</xdr:row>
      <xdr:rowOff>220425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/>
      </xdr:nvGrpSpPr>
      <xdr:grpSpPr>
        <a:xfrm>
          <a:off x="10475595" y="619125"/>
          <a:ext cx="179070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29</xdr:row>
      <xdr:rowOff>266700</xdr:rowOff>
    </xdr:from>
    <xdr:to>
      <xdr:col>0</xdr:col>
      <xdr:colOff>381150</xdr:colOff>
      <xdr:row>31</xdr:row>
      <xdr:rowOff>1615</xdr:rowOff>
    </xdr:to>
    <xdr:grpSp>
      <xdr:nvGrpSpPr>
        <xdr:cNvPr id="5" name="Gruppier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pSpPr/>
      </xdr:nvGrpSpPr>
      <xdr:grpSpPr>
        <a:xfrm>
          <a:off x="57150" y="10248900"/>
          <a:ext cx="324000" cy="329275"/>
          <a:chOff x="66675" y="497205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oben 6">
            <a:extLst>
              <a:ext uri="{FF2B5EF4-FFF2-40B4-BE49-F238E27FC236}">
                <a16:creationId xmlns:a16="http://schemas.microsoft.com/office/drawing/2014/main" id="{00000000-0008-0000-0C00-00000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16</xdr:row>
      <xdr:rowOff>276225</xdr:rowOff>
    </xdr:from>
    <xdr:to>
      <xdr:col>0</xdr:col>
      <xdr:colOff>381150</xdr:colOff>
      <xdr:row>18</xdr:row>
      <xdr:rowOff>11140</xdr:rowOff>
    </xdr:to>
    <xdr:grpSp>
      <xdr:nvGrpSpPr>
        <xdr:cNvPr id="8" name="Gruppier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GrpSpPr/>
      </xdr:nvGrpSpPr>
      <xdr:grpSpPr>
        <a:xfrm>
          <a:off x="57150" y="6623685"/>
          <a:ext cx="324000" cy="329275"/>
          <a:chOff x="66675" y="497205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0C00-00000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oben 9">
            <a:extLst>
              <a:ext uri="{FF2B5EF4-FFF2-40B4-BE49-F238E27FC236}">
                <a16:creationId xmlns:a16="http://schemas.microsoft.com/office/drawing/2014/main" id="{00000000-0008-0000-0C00-00000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42</xdr:row>
      <xdr:rowOff>276225</xdr:rowOff>
    </xdr:from>
    <xdr:to>
      <xdr:col>0</xdr:col>
      <xdr:colOff>381150</xdr:colOff>
      <xdr:row>44</xdr:row>
      <xdr:rowOff>11140</xdr:rowOff>
    </xdr:to>
    <xdr:grpSp>
      <xdr:nvGrpSpPr>
        <xdr:cNvPr id="11" name="Gruppieren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GrpSpPr/>
      </xdr:nvGrpSpPr>
      <xdr:grpSpPr>
        <a:xfrm>
          <a:off x="57150" y="13961745"/>
          <a:ext cx="324000" cy="329275"/>
          <a:chOff x="66675" y="497205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0C00-00000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oben 12">
            <a:extLst>
              <a:ext uri="{FF2B5EF4-FFF2-40B4-BE49-F238E27FC236}">
                <a16:creationId xmlns:a16="http://schemas.microsoft.com/office/drawing/2014/main" id="{00000000-0008-0000-0C00-00000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55</xdr:row>
      <xdr:rowOff>276225</xdr:rowOff>
    </xdr:from>
    <xdr:to>
      <xdr:col>0</xdr:col>
      <xdr:colOff>381150</xdr:colOff>
      <xdr:row>57</xdr:row>
      <xdr:rowOff>11140</xdr:rowOff>
    </xdr:to>
    <xdr:grpSp>
      <xdr:nvGrpSpPr>
        <xdr:cNvPr id="14" name="Gruppieren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GrpSpPr/>
      </xdr:nvGrpSpPr>
      <xdr:grpSpPr>
        <a:xfrm>
          <a:off x="57150" y="17634585"/>
          <a:ext cx="324000" cy="329275"/>
          <a:chOff x="66675" y="4972050"/>
          <a:chExt cx="324000" cy="325465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0C00-00000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oben 15">
            <a:extLst>
              <a:ext uri="{FF2B5EF4-FFF2-40B4-BE49-F238E27FC236}">
                <a16:creationId xmlns:a16="http://schemas.microsoft.com/office/drawing/2014/main" id="{00000000-0008-0000-0C00-00001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68</xdr:row>
      <xdr:rowOff>276225</xdr:rowOff>
    </xdr:from>
    <xdr:to>
      <xdr:col>0</xdr:col>
      <xdr:colOff>381150</xdr:colOff>
      <xdr:row>70</xdr:row>
      <xdr:rowOff>11140</xdr:rowOff>
    </xdr:to>
    <xdr:grpSp>
      <xdr:nvGrpSpPr>
        <xdr:cNvPr id="17" name="Gruppieren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GrpSpPr/>
      </xdr:nvGrpSpPr>
      <xdr:grpSpPr>
        <a:xfrm>
          <a:off x="57150" y="21307425"/>
          <a:ext cx="324000" cy="329275"/>
          <a:chOff x="66675" y="4972050"/>
          <a:chExt cx="324000" cy="325465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0C00-000012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Pfeil nach oben 18">
            <a:extLst>
              <a:ext uri="{FF2B5EF4-FFF2-40B4-BE49-F238E27FC236}">
                <a16:creationId xmlns:a16="http://schemas.microsoft.com/office/drawing/2014/main" id="{00000000-0008-0000-0C00-000013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81</xdr:row>
      <xdr:rowOff>276225</xdr:rowOff>
    </xdr:from>
    <xdr:to>
      <xdr:col>0</xdr:col>
      <xdr:colOff>381150</xdr:colOff>
      <xdr:row>83</xdr:row>
      <xdr:rowOff>11140</xdr:rowOff>
    </xdr:to>
    <xdr:grpSp>
      <xdr:nvGrpSpPr>
        <xdr:cNvPr id="20" name="Gruppieren 1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GrpSpPr/>
      </xdr:nvGrpSpPr>
      <xdr:grpSpPr>
        <a:xfrm>
          <a:off x="57150" y="24980265"/>
          <a:ext cx="324000" cy="329275"/>
          <a:chOff x="66675" y="4972050"/>
          <a:chExt cx="324000" cy="325465"/>
        </a:xfrm>
      </xdr:grpSpPr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0C00-000015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" name="Pfeil nach oben 21">
            <a:extLst>
              <a:ext uri="{FF2B5EF4-FFF2-40B4-BE49-F238E27FC236}">
                <a16:creationId xmlns:a16="http://schemas.microsoft.com/office/drawing/2014/main" id="{00000000-0008-0000-0C00-000016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1</xdr:col>
      <xdr:colOff>0</xdr:colOff>
      <xdr:row>3</xdr:row>
      <xdr:rowOff>1064654</xdr:rowOff>
    </xdr:from>
    <xdr:to>
      <xdr:col>2</xdr:col>
      <xdr:colOff>1306530</xdr:colOff>
      <xdr:row>5</xdr:row>
      <xdr:rowOff>9525</xdr:rowOff>
    </xdr:to>
    <xdr:graphicFrame macro="">
      <xdr:nvGraphicFramePr>
        <xdr:cNvPr id="23" name="Diagramm 22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</xdr:col>
      <xdr:colOff>460821</xdr:colOff>
      <xdr:row>2</xdr:row>
      <xdr:rowOff>134318</xdr:rowOff>
    </xdr:from>
    <xdr:to>
      <xdr:col>2</xdr:col>
      <xdr:colOff>1146540</xdr:colOff>
      <xdr:row>3</xdr:row>
      <xdr:rowOff>1081402</xdr:rowOff>
    </xdr:to>
    <xdr:sp macro="" textlink="' '!A200">
      <xdr:nvSpPr>
        <xdr:cNvPr id="24" name="Freihandform 2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/>
      </xdr:nvSpPr>
      <xdr:spPr>
        <a:xfrm rot="17700000">
          <a:off x="920689" y="1007950"/>
          <a:ext cx="1270934" cy="685719"/>
        </a:xfrm>
        <a:custGeom>
          <a:avLst/>
          <a:gdLst>
            <a:gd name="connsiteX0" fmla="*/ 0 w 1117884"/>
            <a:gd name="connsiteY0" fmla="*/ 0 h 538733"/>
            <a:gd name="connsiteX1" fmla="*/ 1117884 w 1117884"/>
            <a:gd name="connsiteY1" fmla="*/ 0 h 538733"/>
            <a:gd name="connsiteX2" fmla="*/ 1117884 w 1117884"/>
            <a:gd name="connsiteY2" fmla="*/ 538733 h 538733"/>
            <a:gd name="connsiteX3" fmla="*/ 0 w 1117884"/>
            <a:gd name="connsiteY3" fmla="*/ 538733 h 538733"/>
            <a:gd name="connsiteX4" fmla="*/ 0 w 1117884"/>
            <a:gd name="connsiteY4" fmla="*/ 0 h 5387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117884" h="538733">
              <a:moveTo>
                <a:pt x="0" y="0"/>
              </a:moveTo>
              <a:lnTo>
                <a:pt x="1117884" y="0"/>
              </a:lnTo>
              <a:lnTo>
                <a:pt x="1117884" y="538733"/>
              </a:lnTo>
              <a:lnTo>
                <a:pt x="0" y="538733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35559" tIns="-1" rIns="0" bIns="0" numCol="1" spcCol="1270" anchor="ctr" anchorCtr="0">
          <a:noAutofit/>
        </a:bodyPr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9pPr>
        </a:lstStyle>
        <a:p>
          <a:pPr marL="0" lvl="0" indent="0" algn="l" defTabSz="622300" rtl="0" eaLnBrk="1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9035DDBF-1D2B-43E7-867C-B9E3E93712C8}" type="TxLink">
            <a:rPr lang="en-US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rPr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Interne</a:t>
          </a:fld>
          <a:endParaRPr lang="de-CH" sz="1400" kern="1200">
            <a:solidFill>
              <a:schemeClr val="tx2"/>
            </a:solidFill>
            <a:latin typeface="Calibri" panose="020F0502020204030204"/>
            <a:ea typeface=""/>
            <a:cs typeface=""/>
          </a:endParaRPr>
        </a:p>
      </xdr:txBody>
    </xdr:sp>
    <xdr:clientData/>
  </xdr:twoCellAnchor>
  <xdr:twoCellAnchor editAs="oneCell">
    <xdr:from>
      <xdr:col>2</xdr:col>
      <xdr:colOff>1363659</xdr:colOff>
      <xdr:row>3</xdr:row>
      <xdr:rowOff>1064654</xdr:rowOff>
    </xdr:from>
    <xdr:to>
      <xdr:col>2</xdr:col>
      <xdr:colOff>2955939</xdr:colOff>
      <xdr:row>5</xdr:row>
      <xdr:rowOff>9525</xdr:rowOff>
    </xdr:to>
    <xdr:graphicFrame macro="">
      <xdr:nvGraphicFramePr>
        <xdr:cNvPr id="25" name="Diagramm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2</xdr:col>
      <xdr:colOff>2099508</xdr:colOff>
      <xdr:row>2</xdr:row>
      <xdr:rowOff>134318</xdr:rowOff>
    </xdr:from>
    <xdr:to>
      <xdr:col>2</xdr:col>
      <xdr:colOff>2785227</xdr:colOff>
      <xdr:row>3</xdr:row>
      <xdr:rowOff>1081402</xdr:rowOff>
    </xdr:to>
    <xdr:sp macro="" textlink="' '!A201">
      <xdr:nvSpPr>
        <xdr:cNvPr id="26" name="Freihandform 2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/>
      </xdr:nvSpPr>
      <xdr:spPr>
        <a:xfrm rot="17700000">
          <a:off x="2559376" y="1007950"/>
          <a:ext cx="1270934" cy="685719"/>
        </a:xfrm>
        <a:custGeom>
          <a:avLst/>
          <a:gdLst>
            <a:gd name="connsiteX0" fmla="*/ 0 w 1117884"/>
            <a:gd name="connsiteY0" fmla="*/ 0 h 538733"/>
            <a:gd name="connsiteX1" fmla="*/ 1117884 w 1117884"/>
            <a:gd name="connsiteY1" fmla="*/ 0 h 538733"/>
            <a:gd name="connsiteX2" fmla="*/ 1117884 w 1117884"/>
            <a:gd name="connsiteY2" fmla="*/ 538733 h 538733"/>
            <a:gd name="connsiteX3" fmla="*/ 0 w 1117884"/>
            <a:gd name="connsiteY3" fmla="*/ 538733 h 538733"/>
            <a:gd name="connsiteX4" fmla="*/ 0 w 1117884"/>
            <a:gd name="connsiteY4" fmla="*/ 0 h 5387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117884" h="538733">
              <a:moveTo>
                <a:pt x="0" y="0"/>
              </a:moveTo>
              <a:lnTo>
                <a:pt x="1117884" y="0"/>
              </a:lnTo>
              <a:lnTo>
                <a:pt x="1117884" y="538733"/>
              </a:lnTo>
              <a:lnTo>
                <a:pt x="0" y="538733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35559" tIns="-1" rIns="0" bIns="0" numCol="1" spcCol="1270" anchor="ctr" anchorCtr="0">
          <a:noAutofit/>
        </a:bodyPr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9pPr>
        </a:lstStyle>
        <a:p>
          <a:pPr marL="0" lvl="0" indent="0" algn="l" defTabSz="622300" rtl="0" eaLnBrk="1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E42B3151-20A0-4D73-9D60-24DF6EC92E82}" type="TxLink">
            <a:rPr lang="en-US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rPr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Externe</a:t>
          </a:fld>
          <a:endParaRPr lang="de-CH" sz="1400" kern="1200">
            <a:solidFill>
              <a:schemeClr val="tx2"/>
            </a:solidFill>
            <a:latin typeface="Calibri" panose="020F0502020204030204"/>
            <a:ea typeface=""/>
            <a:cs typeface=""/>
          </a:endParaRPr>
        </a:p>
      </xdr:txBody>
    </xdr:sp>
    <xdr:clientData/>
  </xdr:twoCellAnchor>
  <xdr:twoCellAnchor editAs="oneCell">
    <xdr:from>
      <xdr:col>2</xdr:col>
      <xdr:colOff>3013068</xdr:colOff>
      <xdr:row>3</xdr:row>
      <xdr:rowOff>1064654</xdr:rowOff>
    </xdr:from>
    <xdr:to>
      <xdr:col>4</xdr:col>
      <xdr:colOff>138123</xdr:colOff>
      <xdr:row>5</xdr:row>
      <xdr:rowOff>9525</xdr:rowOff>
    </xdr:to>
    <xdr:graphicFrame macro="">
      <xdr:nvGraphicFramePr>
        <xdr:cNvPr id="27" name="Diagramm 26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3</xdr:col>
      <xdr:colOff>442545</xdr:colOff>
      <xdr:row>2</xdr:row>
      <xdr:rowOff>134318</xdr:rowOff>
    </xdr:from>
    <xdr:to>
      <xdr:col>3</xdr:col>
      <xdr:colOff>1128264</xdr:colOff>
      <xdr:row>3</xdr:row>
      <xdr:rowOff>1081402</xdr:rowOff>
    </xdr:to>
    <xdr:sp macro="" textlink="' '!A202">
      <xdr:nvSpPr>
        <xdr:cNvPr id="28" name="Freihandform 2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/>
      </xdr:nvSpPr>
      <xdr:spPr>
        <a:xfrm rot="17700000">
          <a:off x="4198063" y="1007950"/>
          <a:ext cx="1270934" cy="685719"/>
        </a:xfrm>
        <a:custGeom>
          <a:avLst/>
          <a:gdLst>
            <a:gd name="connsiteX0" fmla="*/ 0 w 1117884"/>
            <a:gd name="connsiteY0" fmla="*/ 0 h 538733"/>
            <a:gd name="connsiteX1" fmla="*/ 1117884 w 1117884"/>
            <a:gd name="connsiteY1" fmla="*/ 0 h 538733"/>
            <a:gd name="connsiteX2" fmla="*/ 1117884 w 1117884"/>
            <a:gd name="connsiteY2" fmla="*/ 538733 h 538733"/>
            <a:gd name="connsiteX3" fmla="*/ 0 w 1117884"/>
            <a:gd name="connsiteY3" fmla="*/ 538733 h 538733"/>
            <a:gd name="connsiteX4" fmla="*/ 0 w 1117884"/>
            <a:gd name="connsiteY4" fmla="*/ 0 h 5387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117884" h="538733">
              <a:moveTo>
                <a:pt x="0" y="0"/>
              </a:moveTo>
              <a:lnTo>
                <a:pt x="1117884" y="0"/>
              </a:lnTo>
              <a:lnTo>
                <a:pt x="1117884" y="538733"/>
              </a:lnTo>
              <a:lnTo>
                <a:pt x="0" y="538733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35559" tIns="-1" rIns="0" bIns="0" numCol="1" spcCol="1270" anchor="ctr" anchorCtr="0">
          <a:noAutofit/>
        </a:bodyPr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9pPr>
        </a:lstStyle>
        <a:p>
          <a:pPr marL="0" lvl="0" indent="0" algn="l" defTabSz="622300" rtl="0" eaLnBrk="1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63560EDA-BD7C-4CA7-A828-DFDA8716BE27}" type="TxLink">
            <a:rPr lang="en-US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rPr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Internet</a:t>
          </a:fld>
          <a:endParaRPr lang="de-CH" sz="1400" kern="1200">
            <a:solidFill>
              <a:schemeClr val="tx2"/>
            </a:solidFill>
            <a:latin typeface="Calibri" panose="020F0502020204030204"/>
            <a:ea typeface=""/>
            <a:cs typeface=""/>
          </a:endParaRPr>
        </a:p>
      </xdr:txBody>
    </xdr:sp>
    <xdr:clientData/>
  </xdr:twoCellAnchor>
  <xdr:twoCellAnchor editAs="oneCell">
    <xdr:from>
      <xdr:col>4</xdr:col>
      <xdr:colOff>195252</xdr:colOff>
      <xdr:row>3</xdr:row>
      <xdr:rowOff>1064654</xdr:rowOff>
    </xdr:from>
    <xdr:to>
      <xdr:col>5</xdr:col>
      <xdr:colOff>711207</xdr:colOff>
      <xdr:row>5</xdr:row>
      <xdr:rowOff>9525</xdr:rowOff>
    </xdr:to>
    <xdr:graphicFrame macro="">
      <xdr:nvGraphicFramePr>
        <xdr:cNvPr id="29" name="Diagramm 28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4</xdr:col>
      <xdr:colOff>909657</xdr:colOff>
      <xdr:row>2</xdr:row>
      <xdr:rowOff>14098</xdr:rowOff>
    </xdr:from>
    <xdr:to>
      <xdr:col>5</xdr:col>
      <xdr:colOff>519051</xdr:colOff>
      <xdr:row>3</xdr:row>
      <xdr:rowOff>1087310</xdr:rowOff>
    </xdr:to>
    <xdr:sp macro="" textlink="' '!A203">
      <xdr:nvSpPr>
        <xdr:cNvPr id="30" name="Freihandform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/>
      </xdr:nvSpPr>
      <xdr:spPr>
        <a:xfrm rot="17700000">
          <a:off x="5773686" y="950794"/>
          <a:ext cx="1397062" cy="685719"/>
        </a:xfrm>
        <a:custGeom>
          <a:avLst/>
          <a:gdLst>
            <a:gd name="connsiteX0" fmla="*/ 0 w 1117884"/>
            <a:gd name="connsiteY0" fmla="*/ 0 h 538733"/>
            <a:gd name="connsiteX1" fmla="*/ 1117884 w 1117884"/>
            <a:gd name="connsiteY1" fmla="*/ 0 h 538733"/>
            <a:gd name="connsiteX2" fmla="*/ 1117884 w 1117884"/>
            <a:gd name="connsiteY2" fmla="*/ 538733 h 538733"/>
            <a:gd name="connsiteX3" fmla="*/ 0 w 1117884"/>
            <a:gd name="connsiteY3" fmla="*/ 538733 h 538733"/>
            <a:gd name="connsiteX4" fmla="*/ 0 w 1117884"/>
            <a:gd name="connsiteY4" fmla="*/ 0 h 5387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117884" h="538733">
              <a:moveTo>
                <a:pt x="0" y="0"/>
              </a:moveTo>
              <a:lnTo>
                <a:pt x="1117884" y="0"/>
              </a:lnTo>
              <a:lnTo>
                <a:pt x="1117884" y="538733"/>
              </a:lnTo>
              <a:lnTo>
                <a:pt x="0" y="538733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35559" tIns="-1" rIns="0" bIns="0" numCol="1" spcCol="1270" anchor="ctr" anchorCtr="0">
          <a:noAutofit/>
        </a:bodyPr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9pPr>
        </a:lstStyle>
        <a:p>
          <a:pPr marL="0" lvl="0" indent="0" algn="l" defTabSz="622300" rtl="0" eaLnBrk="1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F075183B-CF8B-459C-BB8E-979A2ED0D9E3}" type="TxLink">
            <a:rPr lang="en-US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rPr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Social Medias</a:t>
          </a:fld>
          <a:endParaRPr lang="de-CH" sz="1400" kern="1200">
            <a:solidFill>
              <a:schemeClr val="tx2"/>
            </a:solidFill>
            <a:latin typeface="Calibri" panose="020F0502020204030204"/>
            <a:ea typeface=""/>
            <a:cs typeface=""/>
          </a:endParaRPr>
        </a:p>
      </xdr:txBody>
    </xdr:sp>
    <xdr:clientData/>
  </xdr:twoCellAnchor>
  <xdr:twoCellAnchor editAs="oneCell">
    <xdr:from>
      <xdr:col>6</xdr:col>
      <xdr:colOff>53961</xdr:colOff>
      <xdr:row>3</xdr:row>
      <xdr:rowOff>1064654</xdr:rowOff>
    </xdr:from>
    <xdr:to>
      <xdr:col>6</xdr:col>
      <xdr:colOff>1646241</xdr:colOff>
      <xdr:row>5</xdr:row>
      <xdr:rowOff>9525</xdr:rowOff>
    </xdr:to>
    <xdr:graphicFrame macro="">
      <xdr:nvGraphicFramePr>
        <xdr:cNvPr id="31" name="Diagramm 30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6</xdr:col>
      <xdr:colOff>757644</xdr:colOff>
      <xdr:row>2</xdr:row>
      <xdr:rowOff>67214</xdr:rowOff>
    </xdr:from>
    <xdr:to>
      <xdr:col>6</xdr:col>
      <xdr:colOff>1443363</xdr:colOff>
      <xdr:row>3</xdr:row>
      <xdr:rowOff>1084698</xdr:rowOff>
    </xdr:to>
    <xdr:sp macro="" textlink="' '!A204">
      <xdr:nvSpPr>
        <xdr:cNvPr id="32" name="Freihandform 3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/>
      </xdr:nvSpPr>
      <xdr:spPr>
        <a:xfrm rot="17700000">
          <a:off x="7440237" y="976046"/>
          <a:ext cx="1341334" cy="685719"/>
        </a:xfrm>
        <a:custGeom>
          <a:avLst/>
          <a:gdLst>
            <a:gd name="connsiteX0" fmla="*/ 0 w 1117884"/>
            <a:gd name="connsiteY0" fmla="*/ 0 h 538733"/>
            <a:gd name="connsiteX1" fmla="*/ 1117884 w 1117884"/>
            <a:gd name="connsiteY1" fmla="*/ 0 h 538733"/>
            <a:gd name="connsiteX2" fmla="*/ 1117884 w 1117884"/>
            <a:gd name="connsiteY2" fmla="*/ 538733 h 538733"/>
            <a:gd name="connsiteX3" fmla="*/ 0 w 1117884"/>
            <a:gd name="connsiteY3" fmla="*/ 538733 h 538733"/>
            <a:gd name="connsiteX4" fmla="*/ 0 w 1117884"/>
            <a:gd name="connsiteY4" fmla="*/ 0 h 5387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117884" h="538733">
              <a:moveTo>
                <a:pt x="0" y="0"/>
              </a:moveTo>
              <a:lnTo>
                <a:pt x="1117884" y="0"/>
              </a:lnTo>
              <a:lnTo>
                <a:pt x="1117884" y="538733"/>
              </a:lnTo>
              <a:lnTo>
                <a:pt x="0" y="538733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35559" tIns="-1" rIns="0" bIns="0" numCol="1" spcCol="1270" anchor="ctr" anchorCtr="0">
          <a:noAutofit/>
        </a:bodyPr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9pPr>
        </a:lstStyle>
        <a:p>
          <a:pPr marL="0" lvl="0" indent="0" algn="l" defTabSz="622300" rtl="0" eaLnBrk="1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E9080744-4250-484D-8055-8CBC3541DB4D}" type="TxLink">
            <a:rPr lang="en-US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rPr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Relations publiques</a:t>
          </a:fld>
          <a:endParaRPr lang="de-CH" sz="1400" kern="1200">
            <a:solidFill>
              <a:schemeClr val="tx2"/>
            </a:solidFill>
            <a:latin typeface="Calibri" panose="020F0502020204030204"/>
            <a:ea typeface=""/>
            <a:cs typeface=""/>
          </a:endParaRPr>
        </a:p>
      </xdr:txBody>
    </xdr:sp>
    <xdr:clientData/>
  </xdr:twoCellAnchor>
  <xdr:twoCellAnchor editAs="oneCell">
    <xdr:from>
      <xdr:col>6</xdr:col>
      <xdr:colOff>2396330</xdr:colOff>
      <xdr:row>2</xdr:row>
      <xdr:rowOff>124793</xdr:rowOff>
    </xdr:from>
    <xdr:to>
      <xdr:col>7</xdr:col>
      <xdr:colOff>157874</xdr:colOff>
      <xdr:row>3</xdr:row>
      <xdr:rowOff>1071877</xdr:rowOff>
    </xdr:to>
    <xdr:sp macro="" textlink="' '!A205">
      <xdr:nvSpPr>
        <xdr:cNvPr id="33" name="Freihandform 3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/>
      </xdr:nvSpPr>
      <xdr:spPr>
        <a:xfrm rot="17700000">
          <a:off x="9114123" y="998425"/>
          <a:ext cx="1270934" cy="685719"/>
        </a:xfrm>
        <a:custGeom>
          <a:avLst/>
          <a:gdLst>
            <a:gd name="connsiteX0" fmla="*/ 0 w 1117884"/>
            <a:gd name="connsiteY0" fmla="*/ 0 h 538733"/>
            <a:gd name="connsiteX1" fmla="*/ 1117884 w 1117884"/>
            <a:gd name="connsiteY1" fmla="*/ 0 h 538733"/>
            <a:gd name="connsiteX2" fmla="*/ 1117884 w 1117884"/>
            <a:gd name="connsiteY2" fmla="*/ 538733 h 538733"/>
            <a:gd name="connsiteX3" fmla="*/ 0 w 1117884"/>
            <a:gd name="connsiteY3" fmla="*/ 538733 h 538733"/>
            <a:gd name="connsiteX4" fmla="*/ 0 w 1117884"/>
            <a:gd name="connsiteY4" fmla="*/ 0 h 5387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117884" h="538733">
              <a:moveTo>
                <a:pt x="0" y="0"/>
              </a:moveTo>
              <a:lnTo>
                <a:pt x="1117884" y="0"/>
              </a:lnTo>
              <a:lnTo>
                <a:pt x="1117884" y="538733"/>
              </a:lnTo>
              <a:lnTo>
                <a:pt x="0" y="538733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35559" tIns="-1" rIns="0" bIns="0" numCol="1" spcCol="1270" anchor="ctr" anchorCtr="0">
          <a:noAutofit/>
        </a:bodyPr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1pPr>
          <a:lvl2pPr marL="457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2pPr>
          <a:lvl3pPr marL="914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3pPr>
          <a:lvl4pPr marL="1371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4pPr>
          <a:lvl5pPr marL="18288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5pPr>
          <a:lvl6pPr marL="22860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6pPr>
          <a:lvl7pPr marL="27432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7pPr>
          <a:lvl8pPr marL="32004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8pPr>
          <a:lvl9pPr marL="3657600" algn="l" defTabSz="914400" rtl="0" eaLnBrk="1" latinLnBrk="0" hangingPunct="1">
            <a:defRPr sz="1800" kern="1200"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latin typeface="Calibri" panose="020F0502020204030204"/>
              <a:ea typeface=""/>
              <a:cs typeface=""/>
            </a:defRPr>
          </a:lvl9pPr>
        </a:lstStyle>
        <a:p>
          <a:pPr marL="0" lvl="0" indent="0" algn="l" defTabSz="622300" rtl="0" eaLnBrk="1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5BD58E4F-7DE3-43A8-ACDF-E6F15D631157}" type="TxLink">
            <a:rPr lang="en-US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rPr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Divers</a:t>
          </a:fld>
          <a:endParaRPr lang="de-CH" sz="1400" kern="1200">
            <a:solidFill>
              <a:schemeClr val="tx2"/>
            </a:solidFill>
            <a:latin typeface="Calibri" panose="020F0502020204030204"/>
            <a:ea typeface=""/>
            <a:cs typeface=""/>
          </a:endParaRPr>
        </a:p>
      </xdr:txBody>
    </xdr:sp>
    <xdr:clientData/>
  </xdr:twoCellAnchor>
  <xdr:twoCellAnchor editAs="oneCell">
    <xdr:from>
      <xdr:col>6</xdr:col>
      <xdr:colOff>1703370</xdr:colOff>
      <xdr:row>3</xdr:row>
      <xdr:rowOff>1064654</xdr:rowOff>
    </xdr:from>
    <xdr:to>
      <xdr:col>7</xdr:col>
      <xdr:colOff>371475</xdr:colOff>
      <xdr:row>5</xdr:row>
      <xdr:rowOff>9525</xdr:rowOff>
    </xdr:to>
    <xdr:graphicFrame macro="">
      <xdr:nvGraphicFramePr>
        <xdr:cNvPr id="34" name="Diagramm 33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0</xdr:col>
      <xdr:colOff>57150</xdr:colOff>
      <xdr:row>0</xdr:row>
      <xdr:rowOff>142875</xdr:rowOff>
    </xdr:from>
    <xdr:to>
      <xdr:col>0</xdr:col>
      <xdr:colOff>381150</xdr:colOff>
      <xdr:row>0</xdr:row>
      <xdr:rowOff>468340</xdr:rowOff>
    </xdr:to>
    <xdr:grpSp>
      <xdr:nvGrpSpPr>
        <xdr:cNvPr id="35" name="Gruppieren 3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GrpSpPr/>
      </xdr:nvGrpSpPr>
      <xdr:grpSpPr>
        <a:xfrm>
          <a:off x="57150" y="142875"/>
          <a:ext cx="324000" cy="325465"/>
          <a:chOff x="12729063" y="1298331"/>
          <a:chExt cx="324000" cy="323267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0C00-000024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7" name="Grafik 3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C00-00002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1185852</xdr:colOff>
          <xdr:row>0</xdr:row>
          <xdr:rowOff>14289</xdr:rowOff>
        </xdr:from>
        <xdr:to>
          <xdr:col>7</xdr:col>
          <xdr:colOff>438140</xdr:colOff>
          <xdr:row>0</xdr:row>
          <xdr:rowOff>547689</xdr:rowOff>
        </xdr:to>
        <xdr:pic>
          <xdr:nvPicPr>
            <xdr:cNvPr id="38" name="Grafik 45">
              <a:extLst>
                <a:ext uri="{FF2B5EF4-FFF2-40B4-BE49-F238E27FC236}">
                  <a16:creationId xmlns:a16="http://schemas.microsoft.com/office/drawing/2014/main" id="{00000000-0008-0000-0C00-00002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71751"/>
                </a:ext>
              </a:extLst>
            </xdr:cNvPicPr>
          </xdr:nvPicPr>
          <xdr:blipFill>
            <a:blip xmlns:r="http://schemas.openxmlformats.org/officeDocument/2006/relationships" r:embed="rId17"/>
            <a:srcRect/>
            <a:stretch>
              <a:fillRect/>
            </a:stretch>
          </xdr:blipFill>
          <xdr:spPr bwMode="auto">
            <a:xfrm>
              <a:off x="8696315" y="14289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695325</xdr:colOff>
      <xdr:row>1</xdr:row>
      <xdr:rowOff>57150</xdr:rowOff>
    </xdr:from>
    <xdr:to>
      <xdr:col>15</xdr:col>
      <xdr:colOff>868125</xdr:colOff>
      <xdr:row>3</xdr:row>
      <xdr:rowOff>93425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/>
      </xdr:nvGrpSpPr>
      <xdr:grpSpPr>
        <a:xfrm>
          <a:off x="14281785" y="613410"/>
          <a:ext cx="172800" cy="165815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133350</xdr:rowOff>
    </xdr:from>
    <xdr:to>
      <xdr:col>0</xdr:col>
      <xdr:colOff>400200</xdr:colOff>
      <xdr:row>0</xdr:row>
      <xdr:rowOff>458815</xdr:rowOff>
    </xdr:to>
    <xdr:grpSp>
      <xdr:nvGrpSpPr>
        <xdr:cNvPr id="5" name="Gruppier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pSpPr/>
      </xdr:nvGrpSpPr>
      <xdr:grpSpPr>
        <a:xfrm>
          <a:off x="76200" y="133350"/>
          <a:ext cx="324000" cy="325465"/>
          <a:chOff x="12729063" y="1298331"/>
          <a:chExt cx="324000" cy="323267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7" name="Grafik 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D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76200</xdr:colOff>
      <xdr:row>4</xdr:row>
      <xdr:rowOff>15875</xdr:rowOff>
    </xdr:from>
    <xdr:to>
      <xdr:col>0</xdr:col>
      <xdr:colOff>400200</xdr:colOff>
      <xdr:row>5</xdr:row>
      <xdr:rowOff>14315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GrpSpPr/>
      </xdr:nvGrpSpPr>
      <xdr:grpSpPr>
        <a:xfrm>
          <a:off x="76200" y="907415"/>
          <a:ext cx="324000" cy="348960"/>
          <a:chOff x="12382500" y="215265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0D00-000009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0" name="Grafik 9">
            <a:extLst>
              <a:ext uri="{FF2B5EF4-FFF2-40B4-BE49-F238E27FC236}">
                <a16:creationId xmlns:a16="http://schemas.microsoft.com/office/drawing/2014/main" id="{00000000-0008-0000-0D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>
    <xdr:from>
      <xdr:col>1</xdr:col>
      <xdr:colOff>180975</xdr:colOff>
      <xdr:row>69</xdr:row>
      <xdr:rowOff>114300</xdr:rowOff>
    </xdr:from>
    <xdr:to>
      <xdr:col>15</xdr:col>
      <xdr:colOff>809625</xdr:colOff>
      <xdr:row>94</xdr:row>
      <xdr:rowOff>95250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 editAs="oneCell">
    <xdr:from>
      <xdr:col>0</xdr:col>
      <xdr:colOff>76200</xdr:colOff>
      <xdr:row>92</xdr:row>
      <xdr:rowOff>104775</xdr:rowOff>
    </xdr:from>
    <xdr:to>
      <xdr:col>0</xdr:col>
      <xdr:colOff>400200</xdr:colOff>
      <xdr:row>94</xdr:row>
      <xdr:rowOff>106390</xdr:rowOff>
    </xdr:to>
    <xdr:grpSp>
      <xdr:nvGrpSpPr>
        <xdr:cNvPr id="13" name="Gruppieren 1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/>
      </xdr:nvGrpSpPr>
      <xdr:grpSpPr>
        <a:xfrm>
          <a:off x="76200" y="17379315"/>
          <a:ext cx="324000" cy="352135"/>
          <a:chOff x="66675" y="4972050"/>
          <a:chExt cx="324000" cy="325465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Pfeil nach oben 14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423865</xdr:colOff>
          <xdr:row>0</xdr:row>
          <xdr:rowOff>14289</xdr:rowOff>
        </xdr:from>
        <xdr:to>
          <xdr:col>15</xdr:col>
          <xdr:colOff>933453</xdr:colOff>
          <xdr:row>0</xdr:row>
          <xdr:rowOff>547689</xdr:rowOff>
        </xdr:to>
        <xdr:pic>
          <xdr:nvPicPr>
            <xdr:cNvPr id="16" name="Grafik 45">
              <a:extLst>
                <a:ext uri="{FF2B5EF4-FFF2-40B4-BE49-F238E27FC236}">
                  <a16:creationId xmlns:a16="http://schemas.microsoft.com/office/drawing/2014/main" id="{00000000-0008-0000-0D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67653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12715878" y="14289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4</xdr:row>
      <xdr:rowOff>0</xdr:rowOff>
    </xdr:from>
    <xdr:to>
      <xdr:col>1</xdr:col>
      <xdr:colOff>372675</xdr:colOff>
      <xdr:row>5</xdr:row>
      <xdr:rowOff>1</xdr:rowOff>
    </xdr:to>
    <xdr:grpSp>
      <xdr:nvGrpSpPr>
        <xdr:cNvPr id="7" name="Gruppier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pSpPr>
          <a:grpSpLocks noChangeAspect="1"/>
        </xdr:cNvGrpSpPr>
      </xdr:nvGrpSpPr>
      <xdr:grpSpPr>
        <a:xfrm>
          <a:off x="74295" y="883920"/>
          <a:ext cx="306000" cy="304801"/>
          <a:chOff x="9191625" y="3009900"/>
          <a:chExt cx="324000" cy="325465"/>
        </a:xfrm>
      </xdr:grpSpPr>
      <xdr:sp macro="" textlink="">
        <xdr:nvSpPr>
          <xdr:cNvPr id="8" name="Rechteck 7">
            <a:extLst>
              <a:ext uri="{FF2B5EF4-FFF2-40B4-BE49-F238E27FC236}">
                <a16:creationId xmlns:a16="http://schemas.microsoft.com/office/drawing/2014/main" id="{00000000-0008-0000-0E00-00000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" name="Pfeil nach links 8">
            <a:extLst>
              <a:ext uri="{FF2B5EF4-FFF2-40B4-BE49-F238E27FC236}">
                <a16:creationId xmlns:a16="http://schemas.microsoft.com/office/drawing/2014/main" id="{00000000-0008-0000-0E00-00000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16</xdr:row>
      <xdr:rowOff>9525</xdr:rowOff>
    </xdr:from>
    <xdr:to>
      <xdr:col>1</xdr:col>
      <xdr:colOff>372675</xdr:colOff>
      <xdr:row>17</xdr:row>
      <xdr:rowOff>10724</xdr:rowOff>
    </xdr:to>
    <xdr:grpSp>
      <xdr:nvGrpSpPr>
        <xdr:cNvPr id="10" name="Gruppieren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GrpSpPr>
          <a:grpSpLocks noChangeAspect="1"/>
        </xdr:cNvGrpSpPr>
      </xdr:nvGrpSpPr>
      <xdr:grpSpPr>
        <a:xfrm>
          <a:off x="74295" y="3888105"/>
          <a:ext cx="306000" cy="305999"/>
          <a:chOff x="9191625" y="3009900"/>
          <a:chExt cx="324000" cy="325465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0E00-00000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" name="Pfeil nach links 11">
            <a:extLst>
              <a:ext uri="{FF2B5EF4-FFF2-40B4-BE49-F238E27FC236}">
                <a16:creationId xmlns:a16="http://schemas.microsoft.com/office/drawing/2014/main" id="{00000000-0008-0000-0E00-00000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28</xdr:row>
      <xdr:rowOff>9525</xdr:rowOff>
    </xdr:from>
    <xdr:to>
      <xdr:col>1</xdr:col>
      <xdr:colOff>372675</xdr:colOff>
      <xdr:row>29</xdr:row>
      <xdr:rowOff>10724</xdr:rowOff>
    </xdr:to>
    <xdr:grpSp>
      <xdr:nvGrpSpPr>
        <xdr:cNvPr id="13" name="Gruppier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GrpSpPr>
          <a:grpSpLocks noChangeAspect="1"/>
        </xdr:cNvGrpSpPr>
      </xdr:nvGrpSpPr>
      <xdr:grpSpPr>
        <a:xfrm>
          <a:off x="74295" y="6219825"/>
          <a:ext cx="306000" cy="305999"/>
          <a:chOff x="9191625" y="3009900"/>
          <a:chExt cx="324000" cy="325465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0E00-00000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Pfeil nach links 14">
            <a:extLst>
              <a:ext uri="{FF2B5EF4-FFF2-40B4-BE49-F238E27FC236}">
                <a16:creationId xmlns:a16="http://schemas.microsoft.com/office/drawing/2014/main" id="{00000000-0008-0000-0E00-00000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40</xdr:row>
      <xdr:rowOff>9525</xdr:rowOff>
    </xdr:from>
    <xdr:to>
      <xdr:col>1</xdr:col>
      <xdr:colOff>372675</xdr:colOff>
      <xdr:row>41</xdr:row>
      <xdr:rowOff>10725</xdr:rowOff>
    </xdr:to>
    <xdr:grpSp>
      <xdr:nvGrpSpPr>
        <xdr:cNvPr id="16" name="Gruppieren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GrpSpPr>
          <a:grpSpLocks noChangeAspect="1"/>
        </xdr:cNvGrpSpPr>
      </xdr:nvGrpSpPr>
      <xdr:grpSpPr>
        <a:xfrm>
          <a:off x="74295" y="8551545"/>
          <a:ext cx="306000" cy="306000"/>
          <a:chOff x="9191625" y="3009900"/>
          <a:chExt cx="324000" cy="325465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0E00-00001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" name="Pfeil nach links 17">
            <a:extLst>
              <a:ext uri="{FF2B5EF4-FFF2-40B4-BE49-F238E27FC236}">
                <a16:creationId xmlns:a16="http://schemas.microsoft.com/office/drawing/2014/main" id="{00000000-0008-0000-0E00-00001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52</xdr:row>
      <xdr:rowOff>9525</xdr:rowOff>
    </xdr:from>
    <xdr:to>
      <xdr:col>1</xdr:col>
      <xdr:colOff>372675</xdr:colOff>
      <xdr:row>53</xdr:row>
      <xdr:rowOff>10726</xdr:rowOff>
    </xdr:to>
    <xdr:grpSp>
      <xdr:nvGrpSpPr>
        <xdr:cNvPr id="19" name="Gruppieren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GrpSpPr>
          <a:grpSpLocks noChangeAspect="1"/>
        </xdr:cNvGrpSpPr>
      </xdr:nvGrpSpPr>
      <xdr:grpSpPr>
        <a:xfrm>
          <a:off x="74295" y="10883265"/>
          <a:ext cx="306000" cy="306001"/>
          <a:chOff x="9191625" y="3009900"/>
          <a:chExt cx="324000" cy="325465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0E00-00001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" name="Pfeil nach links 20">
            <a:extLst>
              <a:ext uri="{FF2B5EF4-FFF2-40B4-BE49-F238E27FC236}">
                <a16:creationId xmlns:a16="http://schemas.microsoft.com/office/drawing/2014/main" id="{00000000-0008-0000-0E00-00001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64</xdr:row>
      <xdr:rowOff>9525</xdr:rowOff>
    </xdr:from>
    <xdr:to>
      <xdr:col>1</xdr:col>
      <xdr:colOff>372675</xdr:colOff>
      <xdr:row>65</xdr:row>
      <xdr:rowOff>10724</xdr:rowOff>
    </xdr:to>
    <xdr:grpSp>
      <xdr:nvGrpSpPr>
        <xdr:cNvPr id="22" name="Gruppieren 2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GrpSpPr>
          <a:grpSpLocks noChangeAspect="1"/>
        </xdr:cNvGrpSpPr>
      </xdr:nvGrpSpPr>
      <xdr:grpSpPr>
        <a:xfrm>
          <a:off x="74295" y="13214985"/>
          <a:ext cx="306000" cy="305999"/>
          <a:chOff x="9191625" y="300990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0E00-00001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" name="Pfeil nach links 23">
            <a:extLst>
              <a:ext uri="{FF2B5EF4-FFF2-40B4-BE49-F238E27FC236}">
                <a16:creationId xmlns:a16="http://schemas.microsoft.com/office/drawing/2014/main" id="{00000000-0008-0000-0E00-00001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76</xdr:row>
      <xdr:rowOff>9525</xdr:rowOff>
    </xdr:from>
    <xdr:to>
      <xdr:col>1</xdr:col>
      <xdr:colOff>372675</xdr:colOff>
      <xdr:row>77</xdr:row>
      <xdr:rowOff>10724</xdr:rowOff>
    </xdr:to>
    <xdr:grpSp>
      <xdr:nvGrpSpPr>
        <xdr:cNvPr id="25" name="Gruppieren 2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GrpSpPr>
          <a:grpSpLocks noChangeAspect="1"/>
        </xdr:cNvGrpSpPr>
      </xdr:nvGrpSpPr>
      <xdr:grpSpPr>
        <a:xfrm>
          <a:off x="74295" y="15546705"/>
          <a:ext cx="306000" cy="305999"/>
          <a:chOff x="9191625" y="300990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0E00-00001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links 26">
            <a:extLst>
              <a:ext uri="{FF2B5EF4-FFF2-40B4-BE49-F238E27FC236}">
                <a16:creationId xmlns:a16="http://schemas.microsoft.com/office/drawing/2014/main" id="{00000000-0008-0000-0E00-00001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88</xdr:row>
      <xdr:rowOff>9525</xdr:rowOff>
    </xdr:from>
    <xdr:to>
      <xdr:col>1</xdr:col>
      <xdr:colOff>372675</xdr:colOff>
      <xdr:row>89</xdr:row>
      <xdr:rowOff>10725</xdr:rowOff>
    </xdr:to>
    <xdr:grpSp>
      <xdr:nvGrpSpPr>
        <xdr:cNvPr id="28" name="Gruppieren 2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GrpSpPr>
          <a:grpSpLocks noChangeAspect="1"/>
        </xdr:cNvGrpSpPr>
      </xdr:nvGrpSpPr>
      <xdr:grpSpPr>
        <a:xfrm>
          <a:off x="74295" y="17878425"/>
          <a:ext cx="306000" cy="306000"/>
          <a:chOff x="9191625" y="3009900"/>
          <a:chExt cx="324000" cy="325465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0E00-00001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Pfeil nach links 29">
            <a:extLst>
              <a:ext uri="{FF2B5EF4-FFF2-40B4-BE49-F238E27FC236}">
                <a16:creationId xmlns:a16="http://schemas.microsoft.com/office/drawing/2014/main" id="{00000000-0008-0000-0E00-00001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100</xdr:row>
      <xdr:rowOff>9525</xdr:rowOff>
    </xdr:from>
    <xdr:to>
      <xdr:col>1</xdr:col>
      <xdr:colOff>372675</xdr:colOff>
      <xdr:row>101</xdr:row>
      <xdr:rowOff>10726</xdr:rowOff>
    </xdr:to>
    <xdr:grpSp>
      <xdr:nvGrpSpPr>
        <xdr:cNvPr id="31" name="Gruppieren 3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GrpSpPr>
          <a:grpSpLocks noChangeAspect="1"/>
        </xdr:cNvGrpSpPr>
      </xdr:nvGrpSpPr>
      <xdr:grpSpPr>
        <a:xfrm>
          <a:off x="74295" y="20210145"/>
          <a:ext cx="306000" cy="306001"/>
          <a:chOff x="9191625" y="300990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0E00-00002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Pfeil nach links 32">
            <a:extLst>
              <a:ext uri="{FF2B5EF4-FFF2-40B4-BE49-F238E27FC236}">
                <a16:creationId xmlns:a16="http://schemas.microsoft.com/office/drawing/2014/main" id="{00000000-0008-0000-0E00-00002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112</xdr:row>
      <xdr:rowOff>9525</xdr:rowOff>
    </xdr:from>
    <xdr:to>
      <xdr:col>1</xdr:col>
      <xdr:colOff>372675</xdr:colOff>
      <xdr:row>113</xdr:row>
      <xdr:rowOff>10724</xdr:rowOff>
    </xdr:to>
    <xdr:grpSp>
      <xdr:nvGrpSpPr>
        <xdr:cNvPr id="34" name="Gruppieren 3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GrpSpPr>
          <a:grpSpLocks noChangeAspect="1"/>
        </xdr:cNvGrpSpPr>
      </xdr:nvGrpSpPr>
      <xdr:grpSpPr>
        <a:xfrm>
          <a:off x="74295" y="22541865"/>
          <a:ext cx="306000" cy="305999"/>
          <a:chOff x="9191625" y="3009900"/>
          <a:chExt cx="324000" cy="325465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E00-00002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Pfeil nach links 35">
            <a:extLst>
              <a:ext uri="{FF2B5EF4-FFF2-40B4-BE49-F238E27FC236}">
                <a16:creationId xmlns:a16="http://schemas.microsoft.com/office/drawing/2014/main" id="{00000000-0008-0000-0E00-00002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124</xdr:row>
      <xdr:rowOff>9525</xdr:rowOff>
    </xdr:from>
    <xdr:to>
      <xdr:col>1</xdr:col>
      <xdr:colOff>372675</xdr:colOff>
      <xdr:row>125</xdr:row>
      <xdr:rowOff>10724</xdr:rowOff>
    </xdr:to>
    <xdr:grpSp>
      <xdr:nvGrpSpPr>
        <xdr:cNvPr id="37" name="Gruppieren 3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GrpSpPr>
          <a:grpSpLocks noChangeAspect="1"/>
        </xdr:cNvGrpSpPr>
      </xdr:nvGrpSpPr>
      <xdr:grpSpPr>
        <a:xfrm>
          <a:off x="74295" y="24873585"/>
          <a:ext cx="306000" cy="305999"/>
          <a:chOff x="9191625" y="3009900"/>
          <a:chExt cx="324000" cy="325465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0E00-00002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Pfeil nach links 38">
            <a:extLst>
              <a:ext uri="{FF2B5EF4-FFF2-40B4-BE49-F238E27FC236}">
                <a16:creationId xmlns:a16="http://schemas.microsoft.com/office/drawing/2014/main" id="{00000000-0008-0000-0E00-00002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136</xdr:row>
      <xdr:rowOff>9525</xdr:rowOff>
    </xdr:from>
    <xdr:to>
      <xdr:col>1</xdr:col>
      <xdr:colOff>372675</xdr:colOff>
      <xdr:row>137</xdr:row>
      <xdr:rowOff>10725</xdr:rowOff>
    </xdr:to>
    <xdr:grpSp>
      <xdr:nvGrpSpPr>
        <xdr:cNvPr id="40" name="Gruppieren 3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GrpSpPr>
          <a:grpSpLocks noChangeAspect="1"/>
        </xdr:cNvGrpSpPr>
      </xdr:nvGrpSpPr>
      <xdr:grpSpPr>
        <a:xfrm>
          <a:off x="74295" y="27205305"/>
          <a:ext cx="306000" cy="306000"/>
          <a:chOff x="9191625" y="300990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0E00-00002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2" name="Pfeil nach links 41">
            <a:extLst>
              <a:ext uri="{FF2B5EF4-FFF2-40B4-BE49-F238E27FC236}">
                <a16:creationId xmlns:a16="http://schemas.microsoft.com/office/drawing/2014/main" id="{00000000-0008-0000-0E00-00002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148</xdr:row>
      <xdr:rowOff>9525</xdr:rowOff>
    </xdr:from>
    <xdr:to>
      <xdr:col>1</xdr:col>
      <xdr:colOff>372675</xdr:colOff>
      <xdr:row>149</xdr:row>
      <xdr:rowOff>10726</xdr:rowOff>
    </xdr:to>
    <xdr:grpSp>
      <xdr:nvGrpSpPr>
        <xdr:cNvPr id="43" name="Gruppieren 4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GrpSpPr>
          <a:grpSpLocks noChangeAspect="1"/>
        </xdr:cNvGrpSpPr>
      </xdr:nvGrpSpPr>
      <xdr:grpSpPr>
        <a:xfrm>
          <a:off x="74295" y="29537025"/>
          <a:ext cx="306000" cy="306001"/>
          <a:chOff x="9191625" y="300990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0E00-00002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5" name="Pfeil nach links 44">
            <a:extLst>
              <a:ext uri="{FF2B5EF4-FFF2-40B4-BE49-F238E27FC236}">
                <a16:creationId xmlns:a16="http://schemas.microsoft.com/office/drawing/2014/main" id="{00000000-0008-0000-0E00-00002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160</xdr:row>
      <xdr:rowOff>9525</xdr:rowOff>
    </xdr:from>
    <xdr:to>
      <xdr:col>1</xdr:col>
      <xdr:colOff>372675</xdr:colOff>
      <xdr:row>161</xdr:row>
      <xdr:rowOff>10724</xdr:rowOff>
    </xdr:to>
    <xdr:grpSp>
      <xdr:nvGrpSpPr>
        <xdr:cNvPr id="46" name="Gruppieren 45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GrpSpPr>
          <a:grpSpLocks noChangeAspect="1"/>
        </xdr:cNvGrpSpPr>
      </xdr:nvGrpSpPr>
      <xdr:grpSpPr>
        <a:xfrm>
          <a:off x="74295" y="31868745"/>
          <a:ext cx="306000" cy="305999"/>
          <a:chOff x="9191625" y="3009900"/>
          <a:chExt cx="324000" cy="325465"/>
        </a:xfrm>
      </xdr:grpSpPr>
      <xdr:sp macro="" textlink="">
        <xdr:nvSpPr>
          <xdr:cNvPr id="47" name="Rechteck 46">
            <a:extLst>
              <a:ext uri="{FF2B5EF4-FFF2-40B4-BE49-F238E27FC236}">
                <a16:creationId xmlns:a16="http://schemas.microsoft.com/office/drawing/2014/main" id="{00000000-0008-0000-0E00-00002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8" name="Pfeil nach links 47">
            <a:extLst>
              <a:ext uri="{FF2B5EF4-FFF2-40B4-BE49-F238E27FC236}">
                <a16:creationId xmlns:a16="http://schemas.microsoft.com/office/drawing/2014/main" id="{00000000-0008-0000-0E00-00003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172</xdr:row>
      <xdr:rowOff>9525</xdr:rowOff>
    </xdr:from>
    <xdr:to>
      <xdr:col>1</xdr:col>
      <xdr:colOff>372675</xdr:colOff>
      <xdr:row>173</xdr:row>
      <xdr:rowOff>10724</xdr:rowOff>
    </xdr:to>
    <xdr:grpSp>
      <xdr:nvGrpSpPr>
        <xdr:cNvPr id="49" name="Gruppieren 4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GrpSpPr>
          <a:grpSpLocks noChangeAspect="1"/>
        </xdr:cNvGrpSpPr>
      </xdr:nvGrpSpPr>
      <xdr:grpSpPr>
        <a:xfrm>
          <a:off x="74295" y="34200465"/>
          <a:ext cx="306000" cy="305999"/>
          <a:chOff x="9191625" y="3009900"/>
          <a:chExt cx="324000" cy="325465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0E00-00003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Pfeil nach links 50">
            <a:extLst>
              <a:ext uri="{FF2B5EF4-FFF2-40B4-BE49-F238E27FC236}">
                <a16:creationId xmlns:a16="http://schemas.microsoft.com/office/drawing/2014/main" id="{00000000-0008-0000-0E00-00003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184</xdr:row>
      <xdr:rowOff>9525</xdr:rowOff>
    </xdr:from>
    <xdr:to>
      <xdr:col>1</xdr:col>
      <xdr:colOff>372675</xdr:colOff>
      <xdr:row>185</xdr:row>
      <xdr:rowOff>10725</xdr:rowOff>
    </xdr:to>
    <xdr:grpSp>
      <xdr:nvGrpSpPr>
        <xdr:cNvPr id="52" name="Gruppieren 5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GrpSpPr>
          <a:grpSpLocks noChangeAspect="1"/>
        </xdr:cNvGrpSpPr>
      </xdr:nvGrpSpPr>
      <xdr:grpSpPr>
        <a:xfrm>
          <a:off x="74295" y="36532185"/>
          <a:ext cx="306000" cy="306000"/>
          <a:chOff x="9191625" y="3009900"/>
          <a:chExt cx="324000" cy="325465"/>
        </a:xfrm>
      </xdr:grpSpPr>
      <xdr:sp macro="" textlink="">
        <xdr:nvSpPr>
          <xdr:cNvPr id="53" name="Rechteck 52">
            <a:extLst>
              <a:ext uri="{FF2B5EF4-FFF2-40B4-BE49-F238E27FC236}">
                <a16:creationId xmlns:a16="http://schemas.microsoft.com/office/drawing/2014/main" id="{00000000-0008-0000-0E00-00003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4" name="Pfeil nach links 53">
            <a:extLst>
              <a:ext uri="{FF2B5EF4-FFF2-40B4-BE49-F238E27FC236}">
                <a16:creationId xmlns:a16="http://schemas.microsoft.com/office/drawing/2014/main" id="{00000000-0008-0000-0E00-00003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196</xdr:row>
      <xdr:rowOff>9525</xdr:rowOff>
    </xdr:from>
    <xdr:to>
      <xdr:col>1</xdr:col>
      <xdr:colOff>372675</xdr:colOff>
      <xdr:row>197</xdr:row>
      <xdr:rowOff>10726</xdr:rowOff>
    </xdr:to>
    <xdr:grpSp>
      <xdr:nvGrpSpPr>
        <xdr:cNvPr id="55" name="Gruppieren 5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GrpSpPr>
          <a:grpSpLocks noChangeAspect="1"/>
        </xdr:cNvGrpSpPr>
      </xdr:nvGrpSpPr>
      <xdr:grpSpPr>
        <a:xfrm>
          <a:off x="74295" y="38863905"/>
          <a:ext cx="306000" cy="306001"/>
          <a:chOff x="9191625" y="3009900"/>
          <a:chExt cx="324000" cy="325465"/>
        </a:xfrm>
      </xdr:grpSpPr>
      <xdr:sp macro="" textlink="">
        <xdr:nvSpPr>
          <xdr:cNvPr id="56" name="Rechteck 55">
            <a:extLst>
              <a:ext uri="{FF2B5EF4-FFF2-40B4-BE49-F238E27FC236}">
                <a16:creationId xmlns:a16="http://schemas.microsoft.com/office/drawing/2014/main" id="{00000000-0008-0000-0E00-00003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7" name="Pfeil nach links 56">
            <a:extLst>
              <a:ext uri="{FF2B5EF4-FFF2-40B4-BE49-F238E27FC236}">
                <a16:creationId xmlns:a16="http://schemas.microsoft.com/office/drawing/2014/main" id="{00000000-0008-0000-0E00-00003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208</xdr:row>
      <xdr:rowOff>9525</xdr:rowOff>
    </xdr:from>
    <xdr:to>
      <xdr:col>1</xdr:col>
      <xdr:colOff>372675</xdr:colOff>
      <xdr:row>209</xdr:row>
      <xdr:rowOff>10724</xdr:rowOff>
    </xdr:to>
    <xdr:grpSp>
      <xdr:nvGrpSpPr>
        <xdr:cNvPr id="58" name="Gruppieren 5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E00-00003A000000}"/>
            </a:ext>
          </a:extLst>
        </xdr:cNvPr>
        <xdr:cNvGrpSpPr>
          <a:grpSpLocks noChangeAspect="1"/>
        </xdr:cNvGrpSpPr>
      </xdr:nvGrpSpPr>
      <xdr:grpSpPr>
        <a:xfrm>
          <a:off x="74295" y="41195625"/>
          <a:ext cx="306000" cy="305999"/>
          <a:chOff x="9191625" y="3009900"/>
          <a:chExt cx="324000" cy="325465"/>
        </a:xfrm>
      </xdr:grpSpPr>
      <xdr:sp macro="" textlink="">
        <xdr:nvSpPr>
          <xdr:cNvPr id="59" name="Rechteck 58">
            <a:extLst>
              <a:ext uri="{FF2B5EF4-FFF2-40B4-BE49-F238E27FC236}">
                <a16:creationId xmlns:a16="http://schemas.microsoft.com/office/drawing/2014/main" id="{00000000-0008-0000-0E00-00003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0" name="Pfeil nach links 59">
            <a:extLst>
              <a:ext uri="{FF2B5EF4-FFF2-40B4-BE49-F238E27FC236}">
                <a16:creationId xmlns:a16="http://schemas.microsoft.com/office/drawing/2014/main" id="{00000000-0008-0000-0E00-00003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220</xdr:row>
      <xdr:rowOff>9525</xdr:rowOff>
    </xdr:from>
    <xdr:to>
      <xdr:col>1</xdr:col>
      <xdr:colOff>372675</xdr:colOff>
      <xdr:row>221</xdr:row>
      <xdr:rowOff>10725</xdr:rowOff>
    </xdr:to>
    <xdr:grpSp>
      <xdr:nvGrpSpPr>
        <xdr:cNvPr id="61" name="Gruppieren 60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GrpSpPr>
          <a:grpSpLocks noChangeAspect="1"/>
        </xdr:cNvGrpSpPr>
      </xdr:nvGrpSpPr>
      <xdr:grpSpPr>
        <a:xfrm>
          <a:off x="74295" y="43527345"/>
          <a:ext cx="306000" cy="306000"/>
          <a:chOff x="9191625" y="3009900"/>
          <a:chExt cx="324000" cy="325465"/>
        </a:xfrm>
      </xdr:grpSpPr>
      <xdr:sp macro="" textlink="">
        <xdr:nvSpPr>
          <xdr:cNvPr id="62" name="Rechteck 61">
            <a:extLst>
              <a:ext uri="{FF2B5EF4-FFF2-40B4-BE49-F238E27FC236}">
                <a16:creationId xmlns:a16="http://schemas.microsoft.com/office/drawing/2014/main" id="{00000000-0008-0000-0E00-00003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3" name="Pfeil nach links 62">
            <a:extLst>
              <a:ext uri="{FF2B5EF4-FFF2-40B4-BE49-F238E27FC236}">
                <a16:creationId xmlns:a16="http://schemas.microsoft.com/office/drawing/2014/main" id="{00000000-0008-0000-0E00-00003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232</xdr:row>
      <xdr:rowOff>9525</xdr:rowOff>
    </xdr:from>
    <xdr:to>
      <xdr:col>1</xdr:col>
      <xdr:colOff>372675</xdr:colOff>
      <xdr:row>233</xdr:row>
      <xdr:rowOff>10726</xdr:rowOff>
    </xdr:to>
    <xdr:grpSp>
      <xdr:nvGrpSpPr>
        <xdr:cNvPr id="64" name="Gruppieren 63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GrpSpPr>
          <a:grpSpLocks noChangeAspect="1"/>
        </xdr:cNvGrpSpPr>
      </xdr:nvGrpSpPr>
      <xdr:grpSpPr>
        <a:xfrm>
          <a:off x="74295" y="45859065"/>
          <a:ext cx="306000" cy="306001"/>
          <a:chOff x="9191625" y="3009900"/>
          <a:chExt cx="324000" cy="325465"/>
        </a:xfrm>
      </xdr:grpSpPr>
      <xdr:sp macro="" textlink="">
        <xdr:nvSpPr>
          <xdr:cNvPr id="65" name="Rechteck 64">
            <a:extLst>
              <a:ext uri="{FF2B5EF4-FFF2-40B4-BE49-F238E27FC236}">
                <a16:creationId xmlns:a16="http://schemas.microsoft.com/office/drawing/2014/main" id="{00000000-0008-0000-0E00-00004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6" name="Pfeil nach links 65">
            <a:extLst>
              <a:ext uri="{FF2B5EF4-FFF2-40B4-BE49-F238E27FC236}">
                <a16:creationId xmlns:a16="http://schemas.microsoft.com/office/drawing/2014/main" id="{00000000-0008-0000-0E00-00004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244</xdr:row>
      <xdr:rowOff>9525</xdr:rowOff>
    </xdr:from>
    <xdr:to>
      <xdr:col>1</xdr:col>
      <xdr:colOff>372675</xdr:colOff>
      <xdr:row>245</xdr:row>
      <xdr:rowOff>10726</xdr:rowOff>
    </xdr:to>
    <xdr:grpSp>
      <xdr:nvGrpSpPr>
        <xdr:cNvPr id="67" name="Gruppieren 66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GrpSpPr>
          <a:grpSpLocks noChangeAspect="1"/>
        </xdr:cNvGrpSpPr>
      </xdr:nvGrpSpPr>
      <xdr:grpSpPr>
        <a:xfrm>
          <a:off x="74295" y="48190785"/>
          <a:ext cx="306000" cy="306001"/>
          <a:chOff x="9191625" y="3009900"/>
          <a:chExt cx="324000" cy="325465"/>
        </a:xfrm>
      </xdr:grpSpPr>
      <xdr:sp macro="" textlink="">
        <xdr:nvSpPr>
          <xdr:cNvPr id="68" name="Rechteck 67">
            <a:extLst>
              <a:ext uri="{FF2B5EF4-FFF2-40B4-BE49-F238E27FC236}">
                <a16:creationId xmlns:a16="http://schemas.microsoft.com/office/drawing/2014/main" id="{00000000-0008-0000-0E00-00004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9" name="Pfeil nach links 68">
            <a:extLst>
              <a:ext uri="{FF2B5EF4-FFF2-40B4-BE49-F238E27FC236}">
                <a16:creationId xmlns:a16="http://schemas.microsoft.com/office/drawing/2014/main" id="{00000000-0008-0000-0E00-00004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256</xdr:row>
      <xdr:rowOff>9525</xdr:rowOff>
    </xdr:from>
    <xdr:to>
      <xdr:col>1</xdr:col>
      <xdr:colOff>372675</xdr:colOff>
      <xdr:row>257</xdr:row>
      <xdr:rowOff>10724</xdr:rowOff>
    </xdr:to>
    <xdr:grpSp>
      <xdr:nvGrpSpPr>
        <xdr:cNvPr id="70" name="Gruppieren 6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E00-000046000000}"/>
            </a:ext>
          </a:extLst>
        </xdr:cNvPr>
        <xdr:cNvGrpSpPr>
          <a:grpSpLocks noChangeAspect="1"/>
        </xdr:cNvGrpSpPr>
      </xdr:nvGrpSpPr>
      <xdr:grpSpPr>
        <a:xfrm>
          <a:off x="74295" y="50522505"/>
          <a:ext cx="306000" cy="305999"/>
          <a:chOff x="9191625" y="3009900"/>
          <a:chExt cx="324000" cy="325465"/>
        </a:xfrm>
      </xdr:grpSpPr>
      <xdr:sp macro="" textlink="">
        <xdr:nvSpPr>
          <xdr:cNvPr id="71" name="Rechteck 70">
            <a:extLst>
              <a:ext uri="{FF2B5EF4-FFF2-40B4-BE49-F238E27FC236}">
                <a16:creationId xmlns:a16="http://schemas.microsoft.com/office/drawing/2014/main" id="{00000000-0008-0000-0E00-00004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2" name="Pfeil nach links 71">
            <a:extLst>
              <a:ext uri="{FF2B5EF4-FFF2-40B4-BE49-F238E27FC236}">
                <a16:creationId xmlns:a16="http://schemas.microsoft.com/office/drawing/2014/main" id="{00000000-0008-0000-0E00-00004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268</xdr:row>
      <xdr:rowOff>9525</xdr:rowOff>
    </xdr:from>
    <xdr:to>
      <xdr:col>1</xdr:col>
      <xdr:colOff>372675</xdr:colOff>
      <xdr:row>269</xdr:row>
      <xdr:rowOff>10725</xdr:rowOff>
    </xdr:to>
    <xdr:grpSp>
      <xdr:nvGrpSpPr>
        <xdr:cNvPr id="73" name="Gruppieren 7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GrpSpPr>
          <a:grpSpLocks noChangeAspect="1"/>
        </xdr:cNvGrpSpPr>
      </xdr:nvGrpSpPr>
      <xdr:grpSpPr>
        <a:xfrm>
          <a:off x="74295" y="52854225"/>
          <a:ext cx="306000" cy="306000"/>
          <a:chOff x="9191625" y="3009900"/>
          <a:chExt cx="324000" cy="325465"/>
        </a:xfrm>
      </xdr:grpSpPr>
      <xdr:sp macro="" textlink="">
        <xdr:nvSpPr>
          <xdr:cNvPr id="74" name="Rechteck 73">
            <a:extLst>
              <a:ext uri="{FF2B5EF4-FFF2-40B4-BE49-F238E27FC236}">
                <a16:creationId xmlns:a16="http://schemas.microsoft.com/office/drawing/2014/main" id="{00000000-0008-0000-0E00-00004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5" name="Pfeil nach links 74">
            <a:extLst>
              <a:ext uri="{FF2B5EF4-FFF2-40B4-BE49-F238E27FC236}">
                <a16:creationId xmlns:a16="http://schemas.microsoft.com/office/drawing/2014/main" id="{00000000-0008-0000-0E00-00004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280</xdr:row>
      <xdr:rowOff>9525</xdr:rowOff>
    </xdr:from>
    <xdr:to>
      <xdr:col>1</xdr:col>
      <xdr:colOff>372675</xdr:colOff>
      <xdr:row>281</xdr:row>
      <xdr:rowOff>10726</xdr:rowOff>
    </xdr:to>
    <xdr:grpSp>
      <xdr:nvGrpSpPr>
        <xdr:cNvPr id="76" name="Gruppieren 7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GrpSpPr>
          <a:grpSpLocks noChangeAspect="1"/>
        </xdr:cNvGrpSpPr>
      </xdr:nvGrpSpPr>
      <xdr:grpSpPr>
        <a:xfrm>
          <a:off x="74295" y="55185945"/>
          <a:ext cx="306000" cy="306001"/>
          <a:chOff x="9191625" y="3009900"/>
          <a:chExt cx="324000" cy="325465"/>
        </a:xfrm>
      </xdr:grpSpPr>
      <xdr:sp macro="" textlink="">
        <xdr:nvSpPr>
          <xdr:cNvPr id="77" name="Rechteck 76">
            <a:extLst>
              <a:ext uri="{FF2B5EF4-FFF2-40B4-BE49-F238E27FC236}">
                <a16:creationId xmlns:a16="http://schemas.microsoft.com/office/drawing/2014/main" id="{00000000-0008-0000-0E00-00004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8" name="Pfeil nach links 77">
            <a:extLst>
              <a:ext uri="{FF2B5EF4-FFF2-40B4-BE49-F238E27FC236}">
                <a16:creationId xmlns:a16="http://schemas.microsoft.com/office/drawing/2014/main" id="{00000000-0008-0000-0E00-00004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292</xdr:row>
      <xdr:rowOff>9525</xdr:rowOff>
    </xdr:from>
    <xdr:to>
      <xdr:col>1</xdr:col>
      <xdr:colOff>372675</xdr:colOff>
      <xdr:row>293</xdr:row>
      <xdr:rowOff>10726</xdr:rowOff>
    </xdr:to>
    <xdr:grpSp>
      <xdr:nvGrpSpPr>
        <xdr:cNvPr id="79" name="Gruppieren 7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E00-00004F000000}"/>
            </a:ext>
          </a:extLst>
        </xdr:cNvPr>
        <xdr:cNvGrpSpPr>
          <a:grpSpLocks noChangeAspect="1"/>
        </xdr:cNvGrpSpPr>
      </xdr:nvGrpSpPr>
      <xdr:grpSpPr>
        <a:xfrm>
          <a:off x="74295" y="57517665"/>
          <a:ext cx="306000" cy="306001"/>
          <a:chOff x="9191625" y="3009900"/>
          <a:chExt cx="324000" cy="325465"/>
        </a:xfrm>
      </xdr:grpSpPr>
      <xdr:sp macro="" textlink="">
        <xdr:nvSpPr>
          <xdr:cNvPr id="80" name="Rechteck 79">
            <a:extLst>
              <a:ext uri="{FF2B5EF4-FFF2-40B4-BE49-F238E27FC236}">
                <a16:creationId xmlns:a16="http://schemas.microsoft.com/office/drawing/2014/main" id="{00000000-0008-0000-0E00-00005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1" name="Pfeil nach links 80">
            <a:extLst>
              <a:ext uri="{FF2B5EF4-FFF2-40B4-BE49-F238E27FC236}">
                <a16:creationId xmlns:a16="http://schemas.microsoft.com/office/drawing/2014/main" id="{00000000-0008-0000-0E00-00005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304</xdr:row>
      <xdr:rowOff>9525</xdr:rowOff>
    </xdr:from>
    <xdr:to>
      <xdr:col>1</xdr:col>
      <xdr:colOff>372675</xdr:colOff>
      <xdr:row>305</xdr:row>
      <xdr:rowOff>10724</xdr:rowOff>
    </xdr:to>
    <xdr:grpSp>
      <xdr:nvGrpSpPr>
        <xdr:cNvPr id="82" name="Gruppieren 8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E00-000052000000}"/>
            </a:ext>
          </a:extLst>
        </xdr:cNvPr>
        <xdr:cNvGrpSpPr>
          <a:grpSpLocks noChangeAspect="1"/>
        </xdr:cNvGrpSpPr>
      </xdr:nvGrpSpPr>
      <xdr:grpSpPr>
        <a:xfrm>
          <a:off x="74295" y="59849385"/>
          <a:ext cx="306000" cy="305999"/>
          <a:chOff x="9191625" y="3009900"/>
          <a:chExt cx="324000" cy="325465"/>
        </a:xfrm>
      </xdr:grpSpPr>
      <xdr:sp macro="" textlink="">
        <xdr:nvSpPr>
          <xdr:cNvPr id="83" name="Rechteck 82">
            <a:extLst>
              <a:ext uri="{FF2B5EF4-FFF2-40B4-BE49-F238E27FC236}">
                <a16:creationId xmlns:a16="http://schemas.microsoft.com/office/drawing/2014/main" id="{00000000-0008-0000-0E00-00005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4" name="Pfeil nach links 83">
            <a:extLst>
              <a:ext uri="{FF2B5EF4-FFF2-40B4-BE49-F238E27FC236}">
                <a16:creationId xmlns:a16="http://schemas.microsoft.com/office/drawing/2014/main" id="{00000000-0008-0000-0E00-00005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316</xdr:row>
      <xdr:rowOff>9525</xdr:rowOff>
    </xdr:from>
    <xdr:to>
      <xdr:col>1</xdr:col>
      <xdr:colOff>372675</xdr:colOff>
      <xdr:row>317</xdr:row>
      <xdr:rowOff>10725</xdr:rowOff>
    </xdr:to>
    <xdr:grpSp>
      <xdr:nvGrpSpPr>
        <xdr:cNvPr id="85" name="Gruppieren 8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E00-000055000000}"/>
            </a:ext>
          </a:extLst>
        </xdr:cNvPr>
        <xdr:cNvGrpSpPr>
          <a:grpSpLocks noChangeAspect="1"/>
        </xdr:cNvGrpSpPr>
      </xdr:nvGrpSpPr>
      <xdr:grpSpPr>
        <a:xfrm>
          <a:off x="74295" y="62181105"/>
          <a:ext cx="306000" cy="306000"/>
          <a:chOff x="9191625" y="3009900"/>
          <a:chExt cx="324000" cy="325465"/>
        </a:xfrm>
      </xdr:grpSpPr>
      <xdr:sp macro="" textlink="">
        <xdr:nvSpPr>
          <xdr:cNvPr id="86" name="Rechteck 85">
            <a:extLst>
              <a:ext uri="{FF2B5EF4-FFF2-40B4-BE49-F238E27FC236}">
                <a16:creationId xmlns:a16="http://schemas.microsoft.com/office/drawing/2014/main" id="{00000000-0008-0000-0E00-00005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7" name="Pfeil nach links 86">
            <a:extLst>
              <a:ext uri="{FF2B5EF4-FFF2-40B4-BE49-F238E27FC236}">
                <a16:creationId xmlns:a16="http://schemas.microsoft.com/office/drawing/2014/main" id="{00000000-0008-0000-0E00-00005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328</xdr:row>
      <xdr:rowOff>9525</xdr:rowOff>
    </xdr:from>
    <xdr:to>
      <xdr:col>1</xdr:col>
      <xdr:colOff>372675</xdr:colOff>
      <xdr:row>329</xdr:row>
      <xdr:rowOff>10726</xdr:rowOff>
    </xdr:to>
    <xdr:grpSp>
      <xdr:nvGrpSpPr>
        <xdr:cNvPr id="88" name="Gruppieren 8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E00-000058000000}"/>
            </a:ext>
          </a:extLst>
        </xdr:cNvPr>
        <xdr:cNvGrpSpPr>
          <a:grpSpLocks noChangeAspect="1"/>
        </xdr:cNvGrpSpPr>
      </xdr:nvGrpSpPr>
      <xdr:grpSpPr>
        <a:xfrm>
          <a:off x="74295" y="64512825"/>
          <a:ext cx="306000" cy="306001"/>
          <a:chOff x="9191625" y="3009900"/>
          <a:chExt cx="324000" cy="325465"/>
        </a:xfrm>
      </xdr:grpSpPr>
      <xdr:sp macro="" textlink="">
        <xdr:nvSpPr>
          <xdr:cNvPr id="89" name="Rechteck 88">
            <a:extLst>
              <a:ext uri="{FF2B5EF4-FFF2-40B4-BE49-F238E27FC236}">
                <a16:creationId xmlns:a16="http://schemas.microsoft.com/office/drawing/2014/main" id="{00000000-0008-0000-0E00-00005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0" name="Pfeil nach links 89">
            <a:extLst>
              <a:ext uri="{FF2B5EF4-FFF2-40B4-BE49-F238E27FC236}">
                <a16:creationId xmlns:a16="http://schemas.microsoft.com/office/drawing/2014/main" id="{00000000-0008-0000-0E00-00005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340</xdr:row>
      <xdr:rowOff>9525</xdr:rowOff>
    </xdr:from>
    <xdr:to>
      <xdr:col>1</xdr:col>
      <xdr:colOff>372675</xdr:colOff>
      <xdr:row>341</xdr:row>
      <xdr:rowOff>10726</xdr:rowOff>
    </xdr:to>
    <xdr:grpSp>
      <xdr:nvGrpSpPr>
        <xdr:cNvPr id="91" name="Gruppieren 90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E00-00005B000000}"/>
            </a:ext>
          </a:extLst>
        </xdr:cNvPr>
        <xdr:cNvGrpSpPr>
          <a:grpSpLocks noChangeAspect="1"/>
        </xdr:cNvGrpSpPr>
      </xdr:nvGrpSpPr>
      <xdr:grpSpPr>
        <a:xfrm>
          <a:off x="74295" y="66844545"/>
          <a:ext cx="306000" cy="306001"/>
          <a:chOff x="9191625" y="3009900"/>
          <a:chExt cx="324000" cy="325465"/>
        </a:xfrm>
      </xdr:grpSpPr>
      <xdr:sp macro="" textlink="">
        <xdr:nvSpPr>
          <xdr:cNvPr id="92" name="Rechteck 91">
            <a:extLst>
              <a:ext uri="{FF2B5EF4-FFF2-40B4-BE49-F238E27FC236}">
                <a16:creationId xmlns:a16="http://schemas.microsoft.com/office/drawing/2014/main" id="{00000000-0008-0000-0E00-00005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3" name="Pfeil nach links 92">
            <a:extLst>
              <a:ext uri="{FF2B5EF4-FFF2-40B4-BE49-F238E27FC236}">
                <a16:creationId xmlns:a16="http://schemas.microsoft.com/office/drawing/2014/main" id="{00000000-0008-0000-0E00-00005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352</xdr:row>
      <xdr:rowOff>9525</xdr:rowOff>
    </xdr:from>
    <xdr:to>
      <xdr:col>1</xdr:col>
      <xdr:colOff>372675</xdr:colOff>
      <xdr:row>353</xdr:row>
      <xdr:rowOff>10724</xdr:rowOff>
    </xdr:to>
    <xdr:grpSp>
      <xdr:nvGrpSpPr>
        <xdr:cNvPr id="94" name="Gruppieren 93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0E00-00005E000000}"/>
            </a:ext>
          </a:extLst>
        </xdr:cNvPr>
        <xdr:cNvGrpSpPr>
          <a:grpSpLocks noChangeAspect="1"/>
        </xdr:cNvGrpSpPr>
      </xdr:nvGrpSpPr>
      <xdr:grpSpPr>
        <a:xfrm>
          <a:off x="74295" y="69176265"/>
          <a:ext cx="306000" cy="305999"/>
          <a:chOff x="9191625" y="3009900"/>
          <a:chExt cx="324000" cy="325465"/>
        </a:xfrm>
      </xdr:grpSpPr>
      <xdr:sp macro="" textlink="">
        <xdr:nvSpPr>
          <xdr:cNvPr id="95" name="Rechteck 94">
            <a:extLst>
              <a:ext uri="{FF2B5EF4-FFF2-40B4-BE49-F238E27FC236}">
                <a16:creationId xmlns:a16="http://schemas.microsoft.com/office/drawing/2014/main" id="{00000000-0008-0000-0E00-00005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6" name="Pfeil nach links 95">
            <a:extLst>
              <a:ext uri="{FF2B5EF4-FFF2-40B4-BE49-F238E27FC236}">
                <a16:creationId xmlns:a16="http://schemas.microsoft.com/office/drawing/2014/main" id="{00000000-0008-0000-0E00-00006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364</xdr:row>
      <xdr:rowOff>9525</xdr:rowOff>
    </xdr:from>
    <xdr:to>
      <xdr:col>1</xdr:col>
      <xdr:colOff>372675</xdr:colOff>
      <xdr:row>365</xdr:row>
      <xdr:rowOff>10725</xdr:rowOff>
    </xdr:to>
    <xdr:grpSp>
      <xdr:nvGrpSpPr>
        <xdr:cNvPr id="97" name="Gruppieren 96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E00-000061000000}"/>
            </a:ext>
          </a:extLst>
        </xdr:cNvPr>
        <xdr:cNvGrpSpPr>
          <a:grpSpLocks noChangeAspect="1"/>
        </xdr:cNvGrpSpPr>
      </xdr:nvGrpSpPr>
      <xdr:grpSpPr>
        <a:xfrm>
          <a:off x="74295" y="71507985"/>
          <a:ext cx="306000" cy="306000"/>
          <a:chOff x="9191625" y="3009900"/>
          <a:chExt cx="324000" cy="325465"/>
        </a:xfrm>
      </xdr:grpSpPr>
      <xdr:sp macro="" textlink="">
        <xdr:nvSpPr>
          <xdr:cNvPr id="98" name="Rechteck 97">
            <a:extLst>
              <a:ext uri="{FF2B5EF4-FFF2-40B4-BE49-F238E27FC236}">
                <a16:creationId xmlns:a16="http://schemas.microsoft.com/office/drawing/2014/main" id="{00000000-0008-0000-0E00-00006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9" name="Pfeil nach links 98">
            <a:extLst>
              <a:ext uri="{FF2B5EF4-FFF2-40B4-BE49-F238E27FC236}">
                <a16:creationId xmlns:a16="http://schemas.microsoft.com/office/drawing/2014/main" id="{00000000-0008-0000-0E00-00006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376</xdr:row>
      <xdr:rowOff>9525</xdr:rowOff>
    </xdr:from>
    <xdr:to>
      <xdr:col>1</xdr:col>
      <xdr:colOff>372675</xdr:colOff>
      <xdr:row>377</xdr:row>
      <xdr:rowOff>10726</xdr:rowOff>
    </xdr:to>
    <xdr:grpSp>
      <xdr:nvGrpSpPr>
        <xdr:cNvPr id="100" name="Gruppieren 9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0E00-000064000000}"/>
            </a:ext>
          </a:extLst>
        </xdr:cNvPr>
        <xdr:cNvGrpSpPr>
          <a:grpSpLocks noChangeAspect="1"/>
        </xdr:cNvGrpSpPr>
      </xdr:nvGrpSpPr>
      <xdr:grpSpPr>
        <a:xfrm>
          <a:off x="74295" y="73839705"/>
          <a:ext cx="306000" cy="306001"/>
          <a:chOff x="9191625" y="3009900"/>
          <a:chExt cx="324000" cy="325465"/>
        </a:xfrm>
      </xdr:grpSpPr>
      <xdr:sp macro="" textlink="">
        <xdr:nvSpPr>
          <xdr:cNvPr id="101" name="Rechteck 100">
            <a:extLst>
              <a:ext uri="{FF2B5EF4-FFF2-40B4-BE49-F238E27FC236}">
                <a16:creationId xmlns:a16="http://schemas.microsoft.com/office/drawing/2014/main" id="{00000000-0008-0000-0E00-00006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2" name="Pfeil nach links 101">
            <a:extLst>
              <a:ext uri="{FF2B5EF4-FFF2-40B4-BE49-F238E27FC236}">
                <a16:creationId xmlns:a16="http://schemas.microsoft.com/office/drawing/2014/main" id="{00000000-0008-0000-0E00-00006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388</xdr:row>
      <xdr:rowOff>9525</xdr:rowOff>
    </xdr:from>
    <xdr:to>
      <xdr:col>1</xdr:col>
      <xdr:colOff>372675</xdr:colOff>
      <xdr:row>389</xdr:row>
      <xdr:rowOff>10726</xdr:rowOff>
    </xdr:to>
    <xdr:grpSp>
      <xdr:nvGrpSpPr>
        <xdr:cNvPr id="103" name="Gruppieren 10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E00-000067000000}"/>
            </a:ext>
          </a:extLst>
        </xdr:cNvPr>
        <xdr:cNvGrpSpPr>
          <a:grpSpLocks noChangeAspect="1"/>
        </xdr:cNvGrpSpPr>
      </xdr:nvGrpSpPr>
      <xdr:grpSpPr>
        <a:xfrm>
          <a:off x="74295" y="76171425"/>
          <a:ext cx="306000" cy="306001"/>
          <a:chOff x="9191625" y="3009900"/>
          <a:chExt cx="324000" cy="325465"/>
        </a:xfrm>
      </xdr:grpSpPr>
      <xdr:sp macro="" textlink="">
        <xdr:nvSpPr>
          <xdr:cNvPr id="104" name="Rechteck 103">
            <a:extLst>
              <a:ext uri="{FF2B5EF4-FFF2-40B4-BE49-F238E27FC236}">
                <a16:creationId xmlns:a16="http://schemas.microsoft.com/office/drawing/2014/main" id="{00000000-0008-0000-0E00-00006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5" name="Pfeil nach links 104">
            <a:extLst>
              <a:ext uri="{FF2B5EF4-FFF2-40B4-BE49-F238E27FC236}">
                <a16:creationId xmlns:a16="http://schemas.microsoft.com/office/drawing/2014/main" id="{00000000-0008-0000-0E00-00006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400</xdr:row>
      <xdr:rowOff>9525</xdr:rowOff>
    </xdr:from>
    <xdr:to>
      <xdr:col>1</xdr:col>
      <xdr:colOff>372675</xdr:colOff>
      <xdr:row>401</xdr:row>
      <xdr:rowOff>10724</xdr:rowOff>
    </xdr:to>
    <xdr:grpSp>
      <xdr:nvGrpSpPr>
        <xdr:cNvPr id="106" name="Gruppieren 105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0E00-00006A000000}"/>
            </a:ext>
          </a:extLst>
        </xdr:cNvPr>
        <xdr:cNvGrpSpPr>
          <a:grpSpLocks noChangeAspect="1"/>
        </xdr:cNvGrpSpPr>
      </xdr:nvGrpSpPr>
      <xdr:grpSpPr>
        <a:xfrm>
          <a:off x="74295" y="78503145"/>
          <a:ext cx="306000" cy="305999"/>
          <a:chOff x="9191625" y="3009900"/>
          <a:chExt cx="324000" cy="325465"/>
        </a:xfrm>
      </xdr:grpSpPr>
      <xdr:sp macro="" textlink="">
        <xdr:nvSpPr>
          <xdr:cNvPr id="107" name="Rechteck 106">
            <a:extLst>
              <a:ext uri="{FF2B5EF4-FFF2-40B4-BE49-F238E27FC236}">
                <a16:creationId xmlns:a16="http://schemas.microsoft.com/office/drawing/2014/main" id="{00000000-0008-0000-0E00-00006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8" name="Pfeil nach links 107">
            <a:extLst>
              <a:ext uri="{FF2B5EF4-FFF2-40B4-BE49-F238E27FC236}">
                <a16:creationId xmlns:a16="http://schemas.microsoft.com/office/drawing/2014/main" id="{00000000-0008-0000-0E00-00006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412</xdr:row>
      <xdr:rowOff>9525</xdr:rowOff>
    </xdr:from>
    <xdr:to>
      <xdr:col>1</xdr:col>
      <xdr:colOff>372675</xdr:colOff>
      <xdr:row>413</xdr:row>
      <xdr:rowOff>10725</xdr:rowOff>
    </xdr:to>
    <xdr:grpSp>
      <xdr:nvGrpSpPr>
        <xdr:cNvPr id="109" name="Gruppieren 108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E00-00006D000000}"/>
            </a:ext>
          </a:extLst>
        </xdr:cNvPr>
        <xdr:cNvGrpSpPr>
          <a:grpSpLocks noChangeAspect="1"/>
        </xdr:cNvGrpSpPr>
      </xdr:nvGrpSpPr>
      <xdr:grpSpPr>
        <a:xfrm>
          <a:off x="74295" y="80834865"/>
          <a:ext cx="306000" cy="306000"/>
          <a:chOff x="9191625" y="3009900"/>
          <a:chExt cx="324000" cy="325465"/>
        </a:xfrm>
      </xdr:grpSpPr>
      <xdr:sp macro="" textlink="">
        <xdr:nvSpPr>
          <xdr:cNvPr id="110" name="Rechteck 109">
            <a:extLst>
              <a:ext uri="{FF2B5EF4-FFF2-40B4-BE49-F238E27FC236}">
                <a16:creationId xmlns:a16="http://schemas.microsoft.com/office/drawing/2014/main" id="{00000000-0008-0000-0E00-00006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1" name="Pfeil nach links 110">
            <a:extLst>
              <a:ext uri="{FF2B5EF4-FFF2-40B4-BE49-F238E27FC236}">
                <a16:creationId xmlns:a16="http://schemas.microsoft.com/office/drawing/2014/main" id="{00000000-0008-0000-0E00-00006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424</xdr:row>
      <xdr:rowOff>9525</xdr:rowOff>
    </xdr:from>
    <xdr:to>
      <xdr:col>1</xdr:col>
      <xdr:colOff>372675</xdr:colOff>
      <xdr:row>425</xdr:row>
      <xdr:rowOff>10726</xdr:rowOff>
    </xdr:to>
    <xdr:grpSp>
      <xdr:nvGrpSpPr>
        <xdr:cNvPr id="112" name="Gruppieren 111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0E00-000070000000}"/>
            </a:ext>
          </a:extLst>
        </xdr:cNvPr>
        <xdr:cNvGrpSpPr>
          <a:grpSpLocks noChangeAspect="1"/>
        </xdr:cNvGrpSpPr>
      </xdr:nvGrpSpPr>
      <xdr:grpSpPr>
        <a:xfrm>
          <a:off x="74295" y="83166585"/>
          <a:ext cx="306000" cy="306001"/>
          <a:chOff x="9191625" y="3009900"/>
          <a:chExt cx="324000" cy="325465"/>
        </a:xfrm>
      </xdr:grpSpPr>
      <xdr:sp macro="" textlink="">
        <xdr:nvSpPr>
          <xdr:cNvPr id="113" name="Rechteck 112">
            <a:extLst>
              <a:ext uri="{FF2B5EF4-FFF2-40B4-BE49-F238E27FC236}">
                <a16:creationId xmlns:a16="http://schemas.microsoft.com/office/drawing/2014/main" id="{00000000-0008-0000-0E00-00007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4" name="Pfeil nach links 113">
            <a:extLst>
              <a:ext uri="{FF2B5EF4-FFF2-40B4-BE49-F238E27FC236}">
                <a16:creationId xmlns:a16="http://schemas.microsoft.com/office/drawing/2014/main" id="{00000000-0008-0000-0E00-00007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436</xdr:row>
      <xdr:rowOff>9525</xdr:rowOff>
    </xdr:from>
    <xdr:to>
      <xdr:col>1</xdr:col>
      <xdr:colOff>372675</xdr:colOff>
      <xdr:row>437</xdr:row>
      <xdr:rowOff>10726</xdr:rowOff>
    </xdr:to>
    <xdr:grpSp>
      <xdr:nvGrpSpPr>
        <xdr:cNvPr id="115" name="Gruppieren 11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E00-000073000000}"/>
            </a:ext>
          </a:extLst>
        </xdr:cNvPr>
        <xdr:cNvGrpSpPr>
          <a:grpSpLocks noChangeAspect="1"/>
        </xdr:cNvGrpSpPr>
      </xdr:nvGrpSpPr>
      <xdr:grpSpPr>
        <a:xfrm>
          <a:off x="74295" y="85498305"/>
          <a:ext cx="306000" cy="306001"/>
          <a:chOff x="9191625" y="3009900"/>
          <a:chExt cx="324000" cy="325465"/>
        </a:xfrm>
      </xdr:grpSpPr>
      <xdr:sp macro="" textlink="">
        <xdr:nvSpPr>
          <xdr:cNvPr id="116" name="Rechteck 115">
            <a:extLst>
              <a:ext uri="{FF2B5EF4-FFF2-40B4-BE49-F238E27FC236}">
                <a16:creationId xmlns:a16="http://schemas.microsoft.com/office/drawing/2014/main" id="{00000000-0008-0000-0E00-00007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7" name="Pfeil nach links 116">
            <a:extLst>
              <a:ext uri="{FF2B5EF4-FFF2-40B4-BE49-F238E27FC236}">
                <a16:creationId xmlns:a16="http://schemas.microsoft.com/office/drawing/2014/main" id="{00000000-0008-0000-0E00-00007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448</xdr:row>
      <xdr:rowOff>9525</xdr:rowOff>
    </xdr:from>
    <xdr:to>
      <xdr:col>1</xdr:col>
      <xdr:colOff>372675</xdr:colOff>
      <xdr:row>449</xdr:row>
      <xdr:rowOff>10724</xdr:rowOff>
    </xdr:to>
    <xdr:grpSp>
      <xdr:nvGrpSpPr>
        <xdr:cNvPr id="118" name="Gruppieren 117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0E00-000076000000}"/>
            </a:ext>
          </a:extLst>
        </xdr:cNvPr>
        <xdr:cNvGrpSpPr>
          <a:grpSpLocks noChangeAspect="1"/>
        </xdr:cNvGrpSpPr>
      </xdr:nvGrpSpPr>
      <xdr:grpSpPr>
        <a:xfrm>
          <a:off x="74295" y="87830025"/>
          <a:ext cx="306000" cy="305999"/>
          <a:chOff x="9191625" y="3009900"/>
          <a:chExt cx="324000" cy="325465"/>
        </a:xfrm>
      </xdr:grpSpPr>
      <xdr:sp macro="" textlink="">
        <xdr:nvSpPr>
          <xdr:cNvPr id="119" name="Rechteck 118">
            <a:extLst>
              <a:ext uri="{FF2B5EF4-FFF2-40B4-BE49-F238E27FC236}">
                <a16:creationId xmlns:a16="http://schemas.microsoft.com/office/drawing/2014/main" id="{00000000-0008-0000-0E00-00007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0" name="Pfeil nach links 119">
            <a:extLst>
              <a:ext uri="{FF2B5EF4-FFF2-40B4-BE49-F238E27FC236}">
                <a16:creationId xmlns:a16="http://schemas.microsoft.com/office/drawing/2014/main" id="{00000000-0008-0000-0E00-00007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460</xdr:row>
      <xdr:rowOff>9525</xdr:rowOff>
    </xdr:from>
    <xdr:to>
      <xdr:col>1</xdr:col>
      <xdr:colOff>372675</xdr:colOff>
      <xdr:row>461</xdr:row>
      <xdr:rowOff>10725</xdr:rowOff>
    </xdr:to>
    <xdr:grpSp>
      <xdr:nvGrpSpPr>
        <xdr:cNvPr id="121" name="Gruppieren 120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0E00-000079000000}"/>
            </a:ext>
          </a:extLst>
        </xdr:cNvPr>
        <xdr:cNvGrpSpPr>
          <a:grpSpLocks noChangeAspect="1"/>
        </xdr:cNvGrpSpPr>
      </xdr:nvGrpSpPr>
      <xdr:grpSpPr>
        <a:xfrm>
          <a:off x="74295" y="90161745"/>
          <a:ext cx="306000" cy="306000"/>
          <a:chOff x="9191625" y="3009900"/>
          <a:chExt cx="324000" cy="325465"/>
        </a:xfrm>
      </xdr:grpSpPr>
      <xdr:sp macro="" textlink="">
        <xdr:nvSpPr>
          <xdr:cNvPr id="122" name="Rechteck 121">
            <a:extLst>
              <a:ext uri="{FF2B5EF4-FFF2-40B4-BE49-F238E27FC236}">
                <a16:creationId xmlns:a16="http://schemas.microsoft.com/office/drawing/2014/main" id="{00000000-0008-0000-0E00-00007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3" name="Pfeil nach links 122">
            <a:extLst>
              <a:ext uri="{FF2B5EF4-FFF2-40B4-BE49-F238E27FC236}">
                <a16:creationId xmlns:a16="http://schemas.microsoft.com/office/drawing/2014/main" id="{00000000-0008-0000-0E00-00007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472</xdr:row>
      <xdr:rowOff>9525</xdr:rowOff>
    </xdr:from>
    <xdr:to>
      <xdr:col>1</xdr:col>
      <xdr:colOff>372675</xdr:colOff>
      <xdr:row>473</xdr:row>
      <xdr:rowOff>10726</xdr:rowOff>
    </xdr:to>
    <xdr:grpSp>
      <xdr:nvGrpSpPr>
        <xdr:cNvPr id="124" name="Gruppieren 123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0E00-00007C000000}"/>
            </a:ext>
          </a:extLst>
        </xdr:cNvPr>
        <xdr:cNvGrpSpPr>
          <a:grpSpLocks noChangeAspect="1"/>
        </xdr:cNvGrpSpPr>
      </xdr:nvGrpSpPr>
      <xdr:grpSpPr>
        <a:xfrm>
          <a:off x="74295" y="92493465"/>
          <a:ext cx="306000" cy="306001"/>
          <a:chOff x="9191625" y="3009900"/>
          <a:chExt cx="324000" cy="325465"/>
        </a:xfrm>
      </xdr:grpSpPr>
      <xdr:sp macro="" textlink="">
        <xdr:nvSpPr>
          <xdr:cNvPr id="125" name="Rechteck 124">
            <a:extLst>
              <a:ext uri="{FF2B5EF4-FFF2-40B4-BE49-F238E27FC236}">
                <a16:creationId xmlns:a16="http://schemas.microsoft.com/office/drawing/2014/main" id="{00000000-0008-0000-0E00-00007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6" name="Pfeil nach links 125">
            <a:extLst>
              <a:ext uri="{FF2B5EF4-FFF2-40B4-BE49-F238E27FC236}">
                <a16:creationId xmlns:a16="http://schemas.microsoft.com/office/drawing/2014/main" id="{00000000-0008-0000-0E00-00007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3</xdr:col>
      <xdr:colOff>33617</xdr:colOff>
      <xdr:row>9</xdr:row>
      <xdr:rowOff>145677</xdr:rowOff>
    </xdr:from>
    <xdr:ext cx="2689575" cy="4508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7" name="Textfeld 126">
              <a:extLst>
                <a:ext uri="{FF2B5EF4-FFF2-40B4-BE49-F238E27FC236}">
                  <a16:creationId xmlns:a16="http://schemas.microsoft.com/office/drawing/2014/main" id="{00000000-0008-0000-0E00-00007F000000}"/>
                </a:ext>
              </a:extLst>
            </xdr:cNvPr>
            <xdr:cNvSpPr txBox="1"/>
          </xdr:nvSpPr>
          <xdr:spPr>
            <a:xfrm>
              <a:off x="767042" y="2203077"/>
              <a:ext cx="2689575" cy="450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de-CH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</m:t>
                        </m:r>
                        <m:d>
                          <m:dPr>
                            <m:ctrlPr>
                              <a:rPr lang="de-CH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de-CH" sz="1100" b="0" i="1">
                                <a:latin typeface="Cambria Math"/>
                              </a:rPr>
                              <m:t>𝑛𝑒𝑢</m:t>
                            </m:r>
                          </m:e>
                        </m:d>
                        <m:r>
                          <a:rPr lang="de-CH" sz="1100" b="0" i="1">
                            <a:latin typeface="Cambria Math"/>
                          </a:rPr>
                          <m:t>−</m:t>
                        </m:r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(</m:t>
                        </m:r>
                        <m:r>
                          <a:rPr lang="de-CH" sz="1100" b="0" i="1">
                            <a:latin typeface="Cambria Math"/>
                          </a:rPr>
                          <m:t>𝑎𝑙𝑡</m:t>
                        </m:r>
                        <m:r>
                          <a:rPr lang="de-CH" sz="1100" b="0" i="1">
                            <a:latin typeface="Cambria Math"/>
                          </a:rPr>
                          <m:t>)</m:t>
                        </m:r>
                      </m:num>
                      <m:den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(</m:t>
                        </m:r>
                        <m:r>
                          <a:rPr lang="de-CH" sz="1100" b="0" i="1">
                            <a:latin typeface="Cambria Math"/>
                          </a:rPr>
                          <m:t>𝑎𝑙𝑡</m:t>
                        </m:r>
                        <m:r>
                          <a:rPr lang="de-CH" sz="1100" b="0" i="1">
                            <a:latin typeface="Cambria Math"/>
                          </a:rPr>
                          <m:t>)</m:t>
                        </m:r>
                      </m:den>
                    </m:f>
                    <m:r>
                      <a:rPr lang="de-CH" sz="1100" b="0" i="1">
                        <a:latin typeface="Cambria Math"/>
                      </a:rPr>
                      <m:t>∗100%</m:t>
                    </m:r>
                  </m:oMath>
                </m:oMathPara>
              </a14:m>
              <a:endParaRPr lang="de-CH" sz="1100"/>
            </a:p>
          </xdr:txBody>
        </xdr:sp>
      </mc:Choice>
      <mc:Fallback xmlns="">
        <xdr:sp macro="" textlink="">
          <xdr:nvSpPr>
            <xdr:cNvPr id="127" name="Textfeld 126"/>
            <xdr:cNvSpPr txBox="1"/>
          </xdr:nvSpPr>
          <xdr:spPr>
            <a:xfrm>
              <a:off x="767042" y="2203077"/>
              <a:ext cx="2689575" cy="450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de-CH" sz="1100" i="0">
                  <a:latin typeface="Cambria Math" panose="02040503050406030204" pitchFamily="18" charset="0"/>
                </a:rPr>
                <a:t>(</a:t>
              </a:r>
              <a:r>
                <a:rPr lang="de-CH" sz="1100" b="0" i="0">
                  <a:latin typeface="Cambria Math"/>
                </a:rPr>
                <a:t>𝐴𝑏𝑠𝑎𝑡𝑧 </a:t>
              </a:r>
              <a:r>
                <a:rPr lang="de-CH" sz="1100" b="0" i="0">
                  <a:latin typeface="Cambria Math" panose="02040503050406030204" pitchFamily="18" charset="0"/>
                </a:rPr>
                <a:t>(</a:t>
              </a:r>
              <a:r>
                <a:rPr lang="de-CH" sz="1100" b="0" i="0">
                  <a:latin typeface="Cambria Math"/>
                </a:rPr>
                <a:t>𝑛𝑒𝑢</a:t>
              </a:r>
              <a:r>
                <a:rPr lang="de-CH" sz="1100" b="0" i="0">
                  <a:latin typeface="Cambria Math" panose="02040503050406030204" pitchFamily="18" charset="0"/>
                </a:rPr>
                <a:t>)</a:t>
              </a:r>
              <a:r>
                <a:rPr lang="de-CH" sz="1100" b="0" i="0">
                  <a:latin typeface="Cambria Math"/>
                </a:rPr>
                <a:t>−𝐴𝑏𝑠𝑎𝑡𝑧 (𝑎𝑙𝑡)</a:t>
              </a:r>
              <a:r>
                <a:rPr lang="de-CH" sz="1100" b="0" i="0">
                  <a:latin typeface="Cambria Math" panose="02040503050406030204" pitchFamily="18" charset="0"/>
                </a:rPr>
                <a:t>)/(</a:t>
              </a:r>
              <a:r>
                <a:rPr lang="de-CH" sz="1100" b="0" i="0">
                  <a:latin typeface="Cambria Math"/>
                </a:rPr>
                <a:t>𝐴𝑏𝑠𝑎𝑡𝑧 (𝑎𝑙𝑡)</a:t>
              </a:r>
              <a:r>
                <a:rPr lang="de-CH" sz="1100" b="0" i="0">
                  <a:latin typeface="Cambria Math" panose="02040503050406030204" pitchFamily="18" charset="0"/>
                </a:rPr>
                <a:t>)</a:t>
              </a:r>
              <a:r>
                <a:rPr lang="de-CH" sz="1100" b="0" i="0">
                  <a:latin typeface="Cambria Math"/>
                </a:rPr>
                <a:t>∗100%</a:t>
              </a:r>
              <a:endParaRPr lang="de-CH" sz="1100"/>
            </a:p>
          </xdr:txBody>
        </xdr:sp>
      </mc:Fallback>
    </mc:AlternateContent>
    <xdr:clientData/>
  </xdr:oneCellAnchor>
  <xdr:twoCellAnchor editAs="oneCell">
    <xdr:from>
      <xdr:col>5</xdr:col>
      <xdr:colOff>104775</xdr:colOff>
      <xdr:row>1</xdr:row>
      <xdr:rowOff>57150</xdr:rowOff>
    </xdr:from>
    <xdr:to>
      <xdr:col>6</xdr:col>
      <xdr:colOff>10875</xdr:colOff>
      <xdr:row>2</xdr:row>
      <xdr:rowOff>29925</xdr:rowOff>
    </xdr:to>
    <xdr:grpSp>
      <xdr:nvGrpSpPr>
        <xdr:cNvPr id="129" name="Gruppieren 128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0E00-000081000000}"/>
            </a:ext>
          </a:extLst>
        </xdr:cNvPr>
        <xdr:cNvGrpSpPr/>
      </xdr:nvGrpSpPr>
      <xdr:grpSpPr>
        <a:xfrm>
          <a:off x="7778115" y="613410"/>
          <a:ext cx="180420" cy="170895"/>
          <a:chOff x="8105775" y="571500"/>
          <a:chExt cx="172800" cy="172800"/>
        </a:xfrm>
      </xdr:grpSpPr>
      <xdr:sp macro="" textlink="">
        <xdr:nvSpPr>
          <xdr:cNvPr id="130" name="Rechteck 129">
            <a:extLst>
              <a:ext uri="{FF2B5EF4-FFF2-40B4-BE49-F238E27FC236}">
                <a16:creationId xmlns:a16="http://schemas.microsoft.com/office/drawing/2014/main" id="{00000000-0008-0000-0E00-00008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1" name="Textfeld 130">
            <a:extLst>
              <a:ext uri="{FF2B5EF4-FFF2-40B4-BE49-F238E27FC236}">
                <a16:creationId xmlns:a16="http://schemas.microsoft.com/office/drawing/2014/main" id="{00000000-0008-0000-0E00-00008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1552562</xdr:colOff>
          <xdr:row>0</xdr:row>
          <xdr:rowOff>14289</xdr:rowOff>
        </xdr:from>
        <xdr:to>
          <xdr:col>5</xdr:col>
          <xdr:colOff>261925</xdr:colOff>
          <xdr:row>0</xdr:row>
          <xdr:rowOff>547689</xdr:rowOff>
        </xdr:to>
        <xdr:pic>
          <xdr:nvPicPr>
            <xdr:cNvPr id="128" name="Grafik 45">
              <a:extLst>
                <a:ext uri="{FF2B5EF4-FFF2-40B4-BE49-F238E27FC236}">
                  <a16:creationId xmlns:a16="http://schemas.microsoft.com/office/drawing/2014/main" id="{00000000-0008-0000-0E00-00008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98371"/>
                </a:ext>
              </a:extLst>
            </xdr:cNvPicPr>
          </xdr:nvPicPr>
          <xdr:blipFill>
            <a:blip xmlns:r="http://schemas.openxmlformats.org/officeDocument/2006/relationships" r:embed="rId42"/>
            <a:srcRect/>
            <a:stretch>
              <a:fillRect/>
            </a:stretch>
          </xdr:blipFill>
          <xdr:spPr bwMode="auto">
            <a:xfrm>
              <a:off x="5876912" y="14289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3</xdr:row>
      <xdr:rowOff>33337</xdr:rowOff>
    </xdr:from>
    <xdr:to>
      <xdr:col>1</xdr:col>
      <xdr:colOff>363150</xdr:colOff>
      <xdr:row>4</xdr:row>
      <xdr:rowOff>282187</xdr:rowOff>
    </xdr:to>
    <xdr:grpSp>
      <xdr:nvGrpSpPr>
        <xdr:cNvPr id="7" name="Gruppier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pSpPr>
          <a:grpSpLocks noChangeAspect="1"/>
        </xdr:cNvGrpSpPr>
      </xdr:nvGrpSpPr>
      <xdr:grpSpPr>
        <a:xfrm>
          <a:off x="64770" y="879157"/>
          <a:ext cx="306000" cy="302190"/>
          <a:chOff x="9191625" y="3009900"/>
          <a:chExt cx="324000" cy="325465"/>
        </a:xfrm>
      </xdr:grpSpPr>
      <xdr:sp macro="" textlink="">
        <xdr:nvSpPr>
          <xdr:cNvPr id="8" name="Rechteck 7">
            <a:extLst>
              <a:ext uri="{FF2B5EF4-FFF2-40B4-BE49-F238E27FC236}">
                <a16:creationId xmlns:a16="http://schemas.microsoft.com/office/drawing/2014/main" id="{00000000-0008-0000-0F00-00000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" name="Pfeil nach links 8">
            <a:extLst>
              <a:ext uri="{FF2B5EF4-FFF2-40B4-BE49-F238E27FC236}">
                <a16:creationId xmlns:a16="http://schemas.microsoft.com/office/drawing/2014/main" id="{00000000-0008-0000-0F00-00000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16</xdr:row>
      <xdr:rowOff>9525</xdr:rowOff>
    </xdr:from>
    <xdr:to>
      <xdr:col>1</xdr:col>
      <xdr:colOff>372675</xdr:colOff>
      <xdr:row>17</xdr:row>
      <xdr:rowOff>10725</xdr:rowOff>
    </xdr:to>
    <xdr:grpSp>
      <xdr:nvGrpSpPr>
        <xdr:cNvPr id="10" name="Gruppieren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GrpSpPr>
          <a:grpSpLocks noChangeAspect="1"/>
        </xdr:cNvGrpSpPr>
      </xdr:nvGrpSpPr>
      <xdr:grpSpPr>
        <a:xfrm>
          <a:off x="74295" y="3918585"/>
          <a:ext cx="306000" cy="306000"/>
          <a:chOff x="9191625" y="3009900"/>
          <a:chExt cx="324000" cy="325465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0F00-00000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" name="Pfeil nach links 11">
            <a:extLst>
              <a:ext uri="{FF2B5EF4-FFF2-40B4-BE49-F238E27FC236}">
                <a16:creationId xmlns:a16="http://schemas.microsoft.com/office/drawing/2014/main" id="{00000000-0008-0000-0F00-00000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28</xdr:row>
      <xdr:rowOff>9525</xdr:rowOff>
    </xdr:from>
    <xdr:to>
      <xdr:col>1</xdr:col>
      <xdr:colOff>372675</xdr:colOff>
      <xdr:row>29</xdr:row>
      <xdr:rowOff>10725</xdr:rowOff>
    </xdr:to>
    <xdr:grpSp>
      <xdr:nvGrpSpPr>
        <xdr:cNvPr id="13" name="Gruppier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GrpSpPr>
          <a:grpSpLocks noChangeAspect="1"/>
        </xdr:cNvGrpSpPr>
      </xdr:nvGrpSpPr>
      <xdr:grpSpPr>
        <a:xfrm>
          <a:off x="74295" y="6250305"/>
          <a:ext cx="306000" cy="306000"/>
          <a:chOff x="9191625" y="3009900"/>
          <a:chExt cx="324000" cy="325465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0F00-00000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Pfeil nach links 14">
            <a:extLst>
              <a:ext uri="{FF2B5EF4-FFF2-40B4-BE49-F238E27FC236}">
                <a16:creationId xmlns:a16="http://schemas.microsoft.com/office/drawing/2014/main" id="{00000000-0008-0000-0F00-00000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40</xdr:row>
      <xdr:rowOff>9525</xdr:rowOff>
    </xdr:from>
    <xdr:to>
      <xdr:col>1</xdr:col>
      <xdr:colOff>372675</xdr:colOff>
      <xdr:row>41</xdr:row>
      <xdr:rowOff>10725</xdr:rowOff>
    </xdr:to>
    <xdr:grpSp>
      <xdr:nvGrpSpPr>
        <xdr:cNvPr id="16" name="Gruppieren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GrpSpPr>
          <a:grpSpLocks noChangeAspect="1"/>
        </xdr:cNvGrpSpPr>
      </xdr:nvGrpSpPr>
      <xdr:grpSpPr>
        <a:xfrm>
          <a:off x="74295" y="8582025"/>
          <a:ext cx="306000" cy="306000"/>
          <a:chOff x="9191625" y="3009900"/>
          <a:chExt cx="324000" cy="325465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0F00-00001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" name="Pfeil nach links 17">
            <a:extLst>
              <a:ext uri="{FF2B5EF4-FFF2-40B4-BE49-F238E27FC236}">
                <a16:creationId xmlns:a16="http://schemas.microsoft.com/office/drawing/2014/main" id="{00000000-0008-0000-0F00-00001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52</xdr:row>
      <xdr:rowOff>9525</xdr:rowOff>
    </xdr:from>
    <xdr:to>
      <xdr:col>1</xdr:col>
      <xdr:colOff>372675</xdr:colOff>
      <xdr:row>53</xdr:row>
      <xdr:rowOff>10725</xdr:rowOff>
    </xdr:to>
    <xdr:grpSp>
      <xdr:nvGrpSpPr>
        <xdr:cNvPr id="19" name="Gruppieren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GrpSpPr>
          <a:grpSpLocks noChangeAspect="1"/>
        </xdr:cNvGrpSpPr>
      </xdr:nvGrpSpPr>
      <xdr:grpSpPr>
        <a:xfrm>
          <a:off x="74295" y="10913745"/>
          <a:ext cx="306000" cy="306000"/>
          <a:chOff x="9191625" y="3009900"/>
          <a:chExt cx="324000" cy="325465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0F00-00001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" name="Pfeil nach links 20">
            <a:extLst>
              <a:ext uri="{FF2B5EF4-FFF2-40B4-BE49-F238E27FC236}">
                <a16:creationId xmlns:a16="http://schemas.microsoft.com/office/drawing/2014/main" id="{00000000-0008-0000-0F00-00001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64</xdr:row>
      <xdr:rowOff>9525</xdr:rowOff>
    </xdr:from>
    <xdr:to>
      <xdr:col>1</xdr:col>
      <xdr:colOff>372675</xdr:colOff>
      <xdr:row>65</xdr:row>
      <xdr:rowOff>10725</xdr:rowOff>
    </xdr:to>
    <xdr:grpSp>
      <xdr:nvGrpSpPr>
        <xdr:cNvPr id="22" name="Gruppieren 2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GrpSpPr>
          <a:grpSpLocks noChangeAspect="1"/>
        </xdr:cNvGrpSpPr>
      </xdr:nvGrpSpPr>
      <xdr:grpSpPr>
        <a:xfrm>
          <a:off x="74295" y="13245465"/>
          <a:ext cx="306000" cy="306000"/>
          <a:chOff x="9191625" y="300990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0F00-00001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" name="Pfeil nach links 23">
            <a:extLst>
              <a:ext uri="{FF2B5EF4-FFF2-40B4-BE49-F238E27FC236}">
                <a16:creationId xmlns:a16="http://schemas.microsoft.com/office/drawing/2014/main" id="{00000000-0008-0000-0F00-00001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76</xdr:row>
      <xdr:rowOff>9525</xdr:rowOff>
    </xdr:from>
    <xdr:to>
      <xdr:col>1</xdr:col>
      <xdr:colOff>372675</xdr:colOff>
      <xdr:row>77</xdr:row>
      <xdr:rowOff>10725</xdr:rowOff>
    </xdr:to>
    <xdr:grpSp>
      <xdr:nvGrpSpPr>
        <xdr:cNvPr id="25" name="Gruppieren 2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GrpSpPr>
          <a:grpSpLocks noChangeAspect="1"/>
        </xdr:cNvGrpSpPr>
      </xdr:nvGrpSpPr>
      <xdr:grpSpPr>
        <a:xfrm>
          <a:off x="74295" y="15577185"/>
          <a:ext cx="306000" cy="306000"/>
          <a:chOff x="9191625" y="300990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0F00-00001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links 26">
            <a:extLst>
              <a:ext uri="{FF2B5EF4-FFF2-40B4-BE49-F238E27FC236}">
                <a16:creationId xmlns:a16="http://schemas.microsoft.com/office/drawing/2014/main" id="{00000000-0008-0000-0F00-00001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88</xdr:row>
      <xdr:rowOff>9525</xdr:rowOff>
    </xdr:from>
    <xdr:to>
      <xdr:col>1</xdr:col>
      <xdr:colOff>372675</xdr:colOff>
      <xdr:row>89</xdr:row>
      <xdr:rowOff>10725</xdr:rowOff>
    </xdr:to>
    <xdr:grpSp>
      <xdr:nvGrpSpPr>
        <xdr:cNvPr id="28" name="Gruppieren 2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GrpSpPr>
          <a:grpSpLocks noChangeAspect="1"/>
        </xdr:cNvGrpSpPr>
      </xdr:nvGrpSpPr>
      <xdr:grpSpPr>
        <a:xfrm>
          <a:off x="74295" y="17908905"/>
          <a:ext cx="306000" cy="306000"/>
          <a:chOff x="9191625" y="3009900"/>
          <a:chExt cx="324000" cy="325465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0F00-00001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Pfeil nach links 29">
            <a:extLst>
              <a:ext uri="{FF2B5EF4-FFF2-40B4-BE49-F238E27FC236}">
                <a16:creationId xmlns:a16="http://schemas.microsoft.com/office/drawing/2014/main" id="{00000000-0008-0000-0F00-00001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100</xdr:row>
      <xdr:rowOff>9525</xdr:rowOff>
    </xdr:from>
    <xdr:to>
      <xdr:col>1</xdr:col>
      <xdr:colOff>372675</xdr:colOff>
      <xdr:row>101</xdr:row>
      <xdr:rowOff>10725</xdr:rowOff>
    </xdr:to>
    <xdr:grpSp>
      <xdr:nvGrpSpPr>
        <xdr:cNvPr id="31" name="Gruppieren 3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F00-00001F000000}"/>
            </a:ext>
          </a:extLst>
        </xdr:cNvPr>
        <xdr:cNvGrpSpPr>
          <a:grpSpLocks noChangeAspect="1"/>
        </xdr:cNvGrpSpPr>
      </xdr:nvGrpSpPr>
      <xdr:grpSpPr>
        <a:xfrm>
          <a:off x="74295" y="20240625"/>
          <a:ext cx="306000" cy="306000"/>
          <a:chOff x="9191625" y="300990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0F00-00002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Pfeil nach links 32">
            <a:extLst>
              <a:ext uri="{FF2B5EF4-FFF2-40B4-BE49-F238E27FC236}">
                <a16:creationId xmlns:a16="http://schemas.microsoft.com/office/drawing/2014/main" id="{00000000-0008-0000-0F00-00002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112</xdr:row>
      <xdr:rowOff>9525</xdr:rowOff>
    </xdr:from>
    <xdr:to>
      <xdr:col>1</xdr:col>
      <xdr:colOff>372675</xdr:colOff>
      <xdr:row>113</xdr:row>
      <xdr:rowOff>10725</xdr:rowOff>
    </xdr:to>
    <xdr:grpSp>
      <xdr:nvGrpSpPr>
        <xdr:cNvPr id="34" name="Gruppieren 3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F00-000022000000}"/>
            </a:ext>
          </a:extLst>
        </xdr:cNvPr>
        <xdr:cNvGrpSpPr>
          <a:grpSpLocks noChangeAspect="1"/>
        </xdr:cNvGrpSpPr>
      </xdr:nvGrpSpPr>
      <xdr:grpSpPr>
        <a:xfrm>
          <a:off x="74295" y="22572345"/>
          <a:ext cx="306000" cy="306000"/>
          <a:chOff x="9191625" y="3009900"/>
          <a:chExt cx="324000" cy="325465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F00-00002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Pfeil nach links 35">
            <a:extLst>
              <a:ext uri="{FF2B5EF4-FFF2-40B4-BE49-F238E27FC236}">
                <a16:creationId xmlns:a16="http://schemas.microsoft.com/office/drawing/2014/main" id="{00000000-0008-0000-0F00-00002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124</xdr:row>
      <xdr:rowOff>9525</xdr:rowOff>
    </xdr:from>
    <xdr:to>
      <xdr:col>1</xdr:col>
      <xdr:colOff>372675</xdr:colOff>
      <xdr:row>125</xdr:row>
      <xdr:rowOff>10725</xdr:rowOff>
    </xdr:to>
    <xdr:grpSp>
      <xdr:nvGrpSpPr>
        <xdr:cNvPr id="37" name="Gruppieren 3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F00-000025000000}"/>
            </a:ext>
          </a:extLst>
        </xdr:cNvPr>
        <xdr:cNvGrpSpPr>
          <a:grpSpLocks noChangeAspect="1"/>
        </xdr:cNvGrpSpPr>
      </xdr:nvGrpSpPr>
      <xdr:grpSpPr>
        <a:xfrm>
          <a:off x="74295" y="24904065"/>
          <a:ext cx="306000" cy="306000"/>
          <a:chOff x="9191625" y="3009900"/>
          <a:chExt cx="324000" cy="325465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0F00-00002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Pfeil nach links 38">
            <a:extLst>
              <a:ext uri="{FF2B5EF4-FFF2-40B4-BE49-F238E27FC236}">
                <a16:creationId xmlns:a16="http://schemas.microsoft.com/office/drawing/2014/main" id="{00000000-0008-0000-0F00-00002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136</xdr:row>
      <xdr:rowOff>9525</xdr:rowOff>
    </xdr:from>
    <xdr:to>
      <xdr:col>1</xdr:col>
      <xdr:colOff>372675</xdr:colOff>
      <xdr:row>137</xdr:row>
      <xdr:rowOff>10725</xdr:rowOff>
    </xdr:to>
    <xdr:grpSp>
      <xdr:nvGrpSpPr>
        <xdr:cNvPr id="40" name="Gruppieren 3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F00-000028000000}"/>
            </a:ext>
          </a:extLst>
        </xdr:cNvPr>
        <xdr:cNvGrpSpPr>
          <a:grpSpLocks noChangeAspect="1"/>
        </xdr:cNvGrpSpPr>
      </xdr:nvGrpSpPr>
      <xdr:grpSpPr>
        <a:xfrm>
          <a:off x="74295" y="27235785"/>
          <a:ext cx="306000" cy="306000"/>
          <a:chOff x="9191625" y="300990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0F00-00002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2" name="Pfeil nach links 41">
            <a:extLst>
              <a:ext uri="{FF2B5EF4-FFF2-40B4-BE49-F238E27FC236}">
                <a16:creationId xmlns:a16="http://schemas.microsoft.com/office/drawing/2014/main" id="{00000000-0008-0000-0F00-00002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148</xdr:row>
      <xdr:rowOff>9525</xdr:rowOff>
    </xdr:from>
    <xdr:to>
      <xdr:col>1</xdr:col>
      <xdr:colOff>372675</xdr:colOff>
      <xdr:row>149</xdr:row>
      <xdr:rowOff>10725</xdr:rowOff>
    </xdr:to>
    <xdr:grpSp>
      <xdr:nvGrpSpPr>
        <xdr:cNvPr id="43" name="Gruppieren 4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F00-00002B000000}"/>
            </a:ext>
          </a:extLst>
        </xdr:cNvPr>
        <xdr:cNvGrpSpPr>
          <a:grpSpLocks noChangeAspect="1"/>
        </xdr:cNvGrpSpPr>
      </xdr:nvGrpSpPr>
      <xdr:grpSpPr>
        <a:xfrm>
          <a:off x="74295" y="29567505"/>
          <a:ext cx="306000" cy="306000"/>
          <a:chOff x="9191625" y="300990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0F00-00002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5" name="Pfeil nach links 44">
            <a:extLst>
              <a:ext uri="{FF2B5EF4-FFF2-40B4-BE49-F238E27FC236}">
                <a16:creationId xmlns:a16="http://schemas.microsoft.com/office/drawing/2014/main" id="{00000000-0008-0000-0F00-00002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160</xdr:row>
      <xdr:rowOff>9525</xdr:rowOff>
    </xdr:from>
    <xdr:to>
      <xdr:col>1</xdr:col>
      <xdr:colOff>372675</xdr:colOff>
      <xdr:row>161</xdr:row>
      <xdr:rowOff>10725</xdr:rowOff>
    </xdr:to>
    <xdr:grpSp>
      <xdr:nvGrpSpPr>
        <xdr:cNvPr id="46" name="Gruppieren 45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F00-00002E000000}"/>
            </a:ext>
          </a:extLst>
        </xdr:cNvPr>
        <xdr:cNvGrpSpPr>
          <a:grpSpLocks noChangeAspect="1"/>
        </xdr:cNvGrpSpPr>
      </xdr:nvGrpSpPr>
      <xdr:grpSpPr>
        <a:xfrm>
          <a:off x="74295" y="31899225"/>
          <a:ext cx="306000" cy="306000"/>
          <a:chOff x="9191625" y="3009900"/>
          <a:chExt cx="324000" cy="325465"/>
        </a:xfrm>
      </xdr:grpSpPr>
      <xdr:sp macro="" textlink="">
        <xdr:nvSpPr>
          <xdr:cNvPr id="47" name="Rechteck 46">
            <a:extLst>
              <a:ext uri="{FF2B5EF4-FFF2-40B4-BE49-F238E27FC236}">
                <a16:creationId xmlns:a16="http://schemas.microsoft.com/office/drawing/2014/main" id="{00000000-0008-0000-0F00-00002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8" name="Pfeil nach links 47">
            <a:extLst>
              <a:ext uri="{FF2B5EF4-FFF2-40B4-BE49-F238E27FC236}">
                <a16:creationId xmlns:a16="http://schemas.microsoft.com/office/drawing/2014/main" id="{00000000-0008-0000-0F00-00003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172</xdr:row>
      <xdr:rowOff>9525</xdr:rowOff>
    </xdr:from>
    <xdr:to>
      <xdr:col>1</xdr:col>
      <xdr:colOff>372675</xdr:colOff>
      <xdr:row>173</xdr:row>
      <xdr:rowOff>10725</xdr:rowOff>
    </xdr:to>
    <xdr:grpSp>
      <xdr:nvGrpSpPr>
        <xdr:cNvPr id="49" name="Gruppieren 4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F00-000031000000}"/>
            </a:ext>
          </a:extLst>
        </xdr:cNvPr>
        <xdr:cNvGrpSpPr>
          <a:grpSpLocks noChangeAspect="1"/>
        </xdr:cNvGrpSpPr>
      </xdr:nvGrpSpPr>
      <xdr:grpSpPr>
        <a:xfrm>
          <a:off x="74295" y="34230945"/>
          <a:ext cx="306000" cy="306000"/>
          <a:chOff x="9191625" y="3009900"/>
          <a:chExt cx="324000" cy="325465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0F00-00003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Pfeil nach links 50">
            <a:extLst>
              <a:ext uri="{FF2B5EF4-FFF2-40B4-BE49-F238E27FC236}">
                <a16:creationId xmlns:a16="http://schemas.microsoft.com/office/drawing/2014/main" id="{00000000-0008-0000-0F00-00003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184</xdr:row>
      <xdr:rowOff>9525</xdr:rowOff>
    </xdr:from>
    <xdr:to>
      <xdr:col>1</xdr:col>
      <xdr:colOff>372675</xdr:colOff>
      <xdr:row>185</xdr:row>
      <xdr:rowOff>10725</xdr:rowOff>
    </xdr:to>
    <xdr:grpSp>
      <xdr:nvGrpSpPr>
        <xdr:cNvPr id="52" name="Gruppieren 5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GrpSpPr>
          <a:grpSpLocks noChangeAspect="1"/>
        </xdr:cNvGrpSpPr>
      </xdr:nvGrpSpPr>
      <xdr:grpSpPr>
        <a:xfrm>
          <a:off x="74295" y="36562665"/>
          <a:ext cx="306000" cy="306000"/>
          <a:chOff x="9191625" y="3009900"/>
          <a:chExt cx="324000" cy="325465"/>
        </a:xfrm>
      </xdr:grpSpPr>
      <xdr:sp macro="" textlink="">
        <xdr:nvSpPr>
          <xdr:cNvPr id="53" name="Rechteck 52">
            <a:extLst>
              <a:ext uri="{FF2B5EF4-FFF2-40B4-BE49-F238E27FC236}">
                <a16:creationId xmlns:a16="http://schemas.microsoft.com/office/drawing/2014/main" id="{00000000-0008-0000-0F00-00003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4" name="Pfeil nach links 53">
            <a:extLst>
              <a:ext uri="{FF2B5EF4-FFF2-40B4-BE49-F238E27FC236}">
                <a16:creationId xmlns:a16="http://schemas.microsoft.com/office/drawing/2014/main" id="{00000000-0008-0000-0F00-00003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196</xdr:row>
      <xdr:rowOff>9525</xdr:rowOff>
    </xdr:from>
    <xdr:to>
      <xdr:col>1</xdr:col>
      <xdr:colOff>372675</xdr:colOff>
      <xdr:row>197</xdr:row>
      <xdr:rowOff>10725</xdr:rowOff>
    </xdr:to>
    <xdr:grpSp>
      <xdr:nvGrpSpPr>
        <xdr:cNvPr id="55" name="Gruppieren 5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F00-000037000000}"/>
            </a:ext>
          </a:extLst>
        </xdr:cNvPr>
        <xdr:cNvGrpSpPr>
          <a:grpSpLocks noChangeAspect="1"/>
        </xdr:cNvGrpSpPr>
      </xdr:nvGrpSpPr>
      <xdr:grpSpPr>
        <a:xfrm>
          <a:off x="74295" y="38894385"/>
          <a:ext cx="306000" cy="306000"/>
          <a:chOff x="9191625" y="3009900"/>
          <a:chExt cx="324000" cy="325465"/>
        </a:xfrm>
      </xdr:grpSpPr>
      <xdr:sp macro="" textlink="">
        <xdr:nvSpPr>
          <xdr:cNvPr id="56" name="Rechteck 55">
            <a:extLst>
              <a:ext uri="{FF2B5EF4-FFF2-40B4-BE49-F238E27FC236}">
                <a16:creationId xmlns:a16="http://schemas.microsoft.com/office/drawing/2014/main" id="{00000000-0008-0000-0F00-00003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7" name="Pfeil nach links 56">
            <a:extLst>
              <a:ext uri="{FF2B5EF4-FFF2-40B4-BE49-F238E27FC236}">
                <a16:creationId xmlns:a16="http://schemas.microsoft.com/office/drawing/2014/main" id="{00000000-0008-0000-0F00-00003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208</xdr:row>
      <xdr:rowOff>9525</xdr:rowOff>
    </xdr:from>
    <xdr:to>
      <xdr:col>1</xdr:col>
      <xdr:colOff>372675</xdr:colOff>
      <xdr:row>209</xdr:row>
      <xdr:rowOff>10725</xdr:rowOff>
    </xdr:to>
    <xdr:grpSp>
      <xdr:nvGrpSpPr>
        <xdr:cNvPr id="58" name="Gruppieren 5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F00-00003A000000}"/>
            </a:ext>
          </a:extLst>
        </xdr:cNvPr>
        <xdr:cNvGrpSpPr>
          <a:grpSpLocks noChangeAspect="1"/>
        </xdr:cNvGrpSpPr>
      </xdr:nvGrpSpPr>
      <xdr:grpSpPr>
        <a:xfrm>
          <a:off x="74295" y="41226105"/>
          <a:ext cx="306000" cy="306000"/>
          <a:chOff x="9191625" y="3009900"/>
          <a:chExt cx="324000" cy="325465"/>
        </a:xfrm>
      </xdr:grpSpPr>
      <xdr:sp macro="" textlink="">
        <xdr:nvSpPr>
          <xdr:cNvPr id="59" name="Rechteck 58">
            <a:extLst>
              <a:ext uri="{FF2B5EF4-FFF2-40B4-BE49-F238E27FC236}">
                <a16:creationId xmlns:a16="http://schemas.microsoft.com/office/drawing/2014/main" id="{00000000-0008-0000-0F00-00003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0" name="Pfeil nach links 59">
            <a:extLst>
              <a:ext uri="{FF2B5EF4-FFF2-40B4-BE49-F238E27FC236}">
                <a16:creationId xmlns:a16="http://schemas.microsoft.com/office/drawing/2014/main" id="{00000000-0008-0000-0F00-00003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220</xdr:row>
      <xdr:rowOff>9525</xdr:rowOff>
    </xdr:from>
    <xdr:to>
      <xdr:col>1</xdr:col>
      <xdr:colOff>372675</xdr:colOff>
      <xdr:row>221</xdr:row>
      <xdr:rowOff>10725</xdr:rowOff>
    </xdr:to>
    <xdr:grpSp>
      <xdr:nvGrpSpPr>
        <xdr:cNvPr id="61" name="Gruppieren 60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F00-00003D000000}"/>
            </a:ext>
          </a:extLst>
        </xdr:cNvPr>
        <xdr:cNvGrpSpPr>
          <a:grpSpLocks noChangeAspect="1"/>
        </xdr:cNvGrpSpPr>
      </xdr:nvGrpSpPr>
      <xdr:grpSpPr>
        <a:xfrm>
          <a:off x="74295" y="43557825"/>
          <a:ext cx="306000" cy="306000"/>
          <a:chOff x="9191625" y="3009900"/>
          <a:chExt cx="324000" cy="325465"/>
        </a:xfrm>
      </xdr:grpSpPr>
      <xdr:sp macro="" textlink="">
        <xdr:nvSpPr>
          <xdr:cNvPr id="62" name="Rechteck 61">
            <a:extLst>
              <a:ext uri="{FF2B5EF4-FFF2-40B4-BE49-F238E27FC236}">
                <a16:creationId xmlns:a16="http://schemas.microsoft.com/office/drawing/2014/main" id="{00000000-0008-0000-0F00-00003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3" name="Pfeil nach links 62">
            <a:extLst>
              <a:ext uri="{FF2B5EF4-FFF2-40B4-BE49-F238E27FC236}">
                <a16:creationId xmlns:a16="http://schemas.microsoft.com/office/drawing/2014/main" id="{00000000-0008-0000-0F00-00003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232</xdr:row>
      <xdr:rowOff>9525</xdr:rowOff>
    </xdr:from>
    <xdr:to>
      <xdr:col>1</xdr:col>
      <xdr:colOff>372675</xdr:colOff>
      <xdr:row>233</xdr:row>
      <xdr:rowOff>10725</xdr:rowOff>
    </xdr:to>
    <xdr:grpSp>
      <xdr:nvGrpSpPr>
        <xdr:cNvPr id="64" name="Gruppieren 63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F00-000040000000}"/>
            </a:ext>
          </a:extLst>
        </xdr:cNvPr>
        <xdr:cNvGrpSpPr>
          <a:grpSpLocks noChangeAspect="1"/>
        </xdr:cNvGrpSpPr>
      </xdr:nvGrpSpPr>
      <xdr:grpSpPr>
        <a:xfrm>
          <a:off x="74295" y="45889545"/>
          <a:ext cx="306000" cy="306000"/>
          <a:chOff x="9191625" y="3009900"/>
          <a:chExt cx="324000" cy="325465"/>
        </a:xfrm>
      </xdr:grpSpPr>
      <xdr:sp macro="" textlink="">
        <xdr:nvSpPr>
          <xdr:cNvPr id="65" name="Rechteck 64">
            <a:extLst>
              <a:ext uri="{FF2B5EF4-FFF2-40B4-BE49-F238E27FC236}">
                <a16:creationId xmlns:a16="http://schemas.microsoft.com/office/drawing/2014/main" id="{00000000-0008-0000-0F00-00004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6" name="Pfeil nach links 65">
            <a:extLst>
              <a:ext uri="{FF2B5EF4-FFF2-40B4-BE49-F238E27FC236}">
                <a16:creationId xmlns:a16="http://schemas.microsoft.com/office/drawing/2014/main" id="{00000000-0008-0000-0F00-00004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244</xdr:row>
      <xdr:rowOff>9525</xdr:rowOff>
    </xdr:from>
    <xdr:to>
      <xdr:col>1</xdr:col>
      <xdr:colOff>372675</xdr:colOff>
      <xdr:row>245</xdr:row>
      <xdr:rowOff>10725</xdr:rowOff>
    </xdr:to>
    <xdr:grpSp>
      <xdr:nvGrpSpPr>
        <xdr:cNvPr id="67" name="Gruppieren 66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F00-000043000000}"/>
            </a:ext>
          </a:extLst>
        </xdr:cNvPr>
        <xdr:cNvGrpSpPr>
          <a:grpSpLocks noChangeAspect="1"/>
        </xdr:cNvGrpSpPr>
      </xdr:nvGrpSpPr>
      <xdr:grpSpPr>
        <a:xfrm>
          <a:off x="74295" y="48221265"/>
          <a:ext cx="306000" cy="306000"/>
          <a:chOff x="9191625" y="3009900"/>
          <a:chExt cx="324000" cy="325465"/>
        </a:xfrm>
      </xdr:grpSpPr>
      <xdr:sp macro="" textlink="">
        <xdr:nvSpPr>
          <xdr:cNvPr id="68" name="Rechteck 67">
            <a:extLst>
              <a:ext uri="{FF2B5EF4-FFF2-40B4-BE49-F238E27FC236}">
                <a16:creationId xmlns:a16="http://schemas.microsoft.com/office/drawing/2014/main" id="{00000000-0008-0000-0F00-00004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9" name="Pfeil nach links 68">
            <a:extLst>
              <a:ext uri="{FF2B5EF4-FFF2-40B4-BE49-F238E27FC236}">
                <a16:creationId xmlns:a16="http://schemas.microsoft.com/office/drawing/2014/main" id="{00000000-0008-0000-0F00-00004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256</xdr:row>
      <xdr:rowOff>9525</xdr:rowOff>
    </xdr:from>
    <xdr:to>
      <xdr:col>1</xdr:col>
      <xdr:colOff>372675</xdr:colOff>
      <xdr:row>257</xdr:row>
      <xdr:rowOff>10725</xdr:rowOff>
    </xdr:to>
    <xdr:grpSp>
      <xdr:nvGrpSpPr>
        <xdr:cNvPr id="70" name="Gruppieren 6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F00-000046000000}"/>
            </a:ext>
          </a:extLst>
        </xdr:cNvPr>
        <xdr:cNvGrpSpPr>
          <a:grpSpLocks noChangeAspect="1"/>
        </xdr:cNvGrpSpPr>
      </xdr:nvGrpSpPr>
      <xdr:grpSpPr>
        <a:xfrm>
          <a:off x="74295" y="50552985"/>
          <a:ext cx="306000" cy="306000"/>
          <a:chOff x="9191625" y="3009900"/>
          <a:chExt cx="324000" cy="325465"/>
        </a:xfrm>
      </xdr:grpSpPr>
      <xdr:sp macro="" textlink="">
        <xdr:nvSpPr>
          <xdr:cNvPr id="71" name="Rechteck 70">
            <a:extLst>
              <a:ext uri="{FF2B5EF4-FFF2-40B4-BE49-F238E27FC236}">
                <a16:creationId xmlns:a16="http://schemas.microsoft.com/office/drawing/2014/main" id="{00000000-0008-0000-0F00-00004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2" name="Pfeil nach links 71">
            <a:extLst>
              <a:ext uri="{FF2B5EF4-FFF2-40B4-BE49-F238E27FC236}">
                <a16:creationId xmlns:a16="http://schemas.microsoft.com/office/drawing/2014/main" id="{00000000-0008-0000-0F00-00004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268</xdr:row>
      <xdr:rowOff>9525</xdr:rowOff>
    </xdr:from>
    <xdr:to>
      <xdr:col>1</xdr:col>
      <xdr:colOff>372675</xdr:colOff>
      <xdr:row>269</xdr:row>
      <xdr:rowOff>10725</xdr:rowOff>
    </xdr:to>
    <xdr:grpSp>
      <xdr:nvGrpSpPr>
        <xdr:cNvPr id="73" name="Gruppieren 7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F00-000049000000}"/>
            </a:ext>
          </a:extLst>
        </xdr:cNvPr>
        <xdr:cNvGrpSpPr>
          <a:grpSpLocks noChangeAspect="1"/>
        </xdr:cNvGrpSpPr>
      </xdr:nvGrpSpPr>
      <xdr:grpSpPr>
        <a:xfrm>
          <a:off x="74295" y="52884705"/>
          <a:ext cx="306000" cy="306000"/>
          <a:chOff x="9191625" y="3009900"/>
          <a:chExt cx="324000" cy="325465"/>
        </a:xfrm>
      </xdr:grpSpPr>
      <xdr:sp macro="" textlink="">
        <xdr:nvSpPr>
          <xdr:cNvPr id="74" name="Rechteck 73">
            <a:extLst>
              <a:ext uri="{FF2B5EF4-FFF2-40B4-BE49-F238E27FC236}">
                <a16:creationId xmlns:a16="http://schemas.microsoft.com/office/drawing/2014/main" id="{00000000-0008-0000-0F00-00004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5" name="Pfeil nach links 74">
            <a:extLst>
              <a:ext uri="{FF2B5EF4-FFF2-40B4-BE49-F238E27FC236}">
                <a16:creationId xmlns:a16="http://schemas.microsoft.com/office/drawing/2014/main" id="{00000000-0008-0000-0F00-00004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280</xdr:row>
      <xdr:rowOff>9525</xdr:rowOff>
    </xdr:from>
    <xdr:to>
      <xdr:col>1</xdr:col>
      <xdr:colOff>372675</xdr:colOff>
      <xdr:row>281</xdr:row>
      <xdr:rowOff>10725</xdr:rowOff>
    </xdr:to>
    <xdr:grpSp>
      <xdr:nvGrpSpPr>
        <xdr:cNvPr id="76" name="Gruppieren 7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F00-00004C000000}"/>
            </a:ext>
          </a:extLst>
        </xdr:cNvPr>
        <xdr:cNvGrpSpPr>
          <a:grpSpLocks noChangeAspect="1"/>
        </xdr:cNvGrpSpPr>
      </xdr:nvGrpSpPr>
      <xdr:grpSpPr>
        <a:xfrm>
          <a:off x="74295" y="55216425"/>
          <a:ext cx="306000" cy="306000"/>
          <a:chOff x="9191625" y="3009900"/>
          <a:chExt cx="324000" cy="325465"/>
        </a:xfrm>
      </xdr:grpSpPr>
      <xdr:sp macro="" textlink="">
        <xdr:nvSpPr>
          <xdr:cNvPr id="77" name="Rechteck 76">
            <a:extLst>
              <a:ext uri="{FF2B5EF4-FFF2-40B4-BE49-F238E27FC236}">
                <a16:creationId xmlns:a16="http://schemas.microsoft.com/office/drawing/2014/main" id="{00000000-0008-0000-0F00-00004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8" name="Pfeil nach links 77">
            <a:extLst>
              <a:ext uri="{FF2B5EF4-FFF2-40B4-BE49-F238E27FC236}">
                <a16:creationId xmlns:a16="http://schemas.microsoft.com/office/drawing/2014/main" id="{00000000-0008-0000-0F00-00004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292</xdr:row>
      <xdr:rowOff>9525</xdr:rowOff>
    </xdr:from>
    <xdr:to>
      <xdr:col>1</xdr:col>
      <xdr:colOff>372675</xdr:colOff>
      <xdr:row>293</xdr:row>
      <xdr:rowOff>10725</xdr:rowOff>
    </xdr:to>
    <xdr:grpSp>
      <xdr:nvGrpSpPr>
        <xdr:cNvPr id="79" name="Gruppieren 7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F00-00004F000000}"/>
            </a:ext>
          </a:extLst>
        </xdr:cNvPr>
        <xdr:cNvGrpSpPr>
          <a:grpSpLocks noChangeAspect="1"/>
        </xdr:cNvGrpSpPr>
      </xdr:nvGrpSpPr>
      <xdr:grpSpPr>
        <a:xfrm>
          <a:off x="74295" y="57548145"/>
          <a:ext cx="306000" cy="306000"/>
          <a:chOff x="9191625" y="3009900"/>
          <a:chExt cx="324000" cy="325465"/>
        </a:xfrm>
      </xdr:grpSpPr>
      <xdr:sp macro="" textlink="">
        <xdr:nvSpPr>
          <xdr:cNvPr id="80" name="Rechteck 79">
            <a:extLst>
              <a:ext uri="{FF2B5EF4-FFF2-40B4-BE49-F238E27FC236}">
                <a16:creationId xmlns:a16="http://schemas.microsoft.com/office/drawing/2014/main" id="{00000000-0008-0000-0F00-00005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1" name="Pfeil nach links 80">
            <a:extLst>
              <a:ext uri="{FF2B5EF4-FFF2-40B4-BE49-F238E27FC236}">
                <a16:creationId xmlns:a16="http://schemas.microsoft.com/office/drawing/2014/main" id="{00000000-0008-0000-0F00-00005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304</xdr:row>
      <xdr:rowOff>9525</xdr:rowOff>
    </xdr:from>
    <xdr:to>
      <xdr:col>1</xdr:col>
      <xdr:colOff>372675</xdr:colOff>
      <xdr:row>305</xdr:row>
      <xdr:rowOff>10725</xdr:rowOff>
    </xdr:to>
    <xdr:grpSp>
      <xdr:nvGrpSpPr>
        <xdr:cNvPr id="82" name="Gruppieren 8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F00-000052000000}"/>
            </a:ext>
          </a:extLst>
        </xdr:cNvPr>
        <xdr:cNvGrpSpPr>
          <a:grpSpLocks noChangeAspect="1"/>
        </xdr:cNvGrpSpPr>
      </xdr:nvGrpSpPr>
      <xdr:grpSpPr>
        <a:xfrm>
          <a:off x="74295" y="59879865"/>
          <a:ext cx="306000" cy="306000"/>
          <a:chOff x="9191625" y="3009900"/>
          <a:chExt cx="324000" cy="325465"/>
        </a:xfrm>
      </xdr:grpSpPr>
      <xdr:sp macro="" textlink="">
        <xdr:nvSpPr>
          <xdr:cNvPr id="83" name="Rechteck 82">
            <a:extLst>
              <a:ext uri="{FF2B5EF4-FFF2-40B4-BE49-F238E27FC236}">
                <a16:creationId xmlns:a16="http://schemas.microsoft.com/office/drawing/2014/main" id="{00000000-0008-0000-0F00-00005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4" name="Pfeil nach links 83">
            <a:extLst>
              <a:ext uri="{FF2B5EF4-FFF2-40B4-BE49-F238E27FC236}">
                <a16:creationId xmlns:a16="http://schemas.microsoft.com/office/drawing/2014/main" id="{00000000-0008-0000-0F00-00005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316</xdr:row>
      <xdr:rowOff>9525</xdr:rowOff>
    </xdr:from>
    <xdr:to>
      <xdr:col>1</xdr:col>
      <xdr:colOff>372675</xdr:colOff>
      <xdr:row>317</xdr:row>
      <xdr:rowOff>10725</xdr:rowOff>
    </xdr:to>
    <xdr:grpSp>
      <xdr:nvGrpSpPr>
        <xdr:cNvPr id="85" name="Gruppieren 8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F00-000055000000}"/>
            </a:ext>
          </a:extLst>
        </xdr:cNvPr>
        <xdr:cNvGrpSpPr>
          <a:grpSpLocks noChangeAspect="1"/>
        </xdr:cNvGrpSpPr>
      </xdr:nvGrpSpPr>
      <xdr:grpSpPr>
        <a:xfrm>
          <a:off x="74295" y="62211585"/>
          <a:ext cx="306000" cy="306000"/>
          <a:chOff x="9191625" y="3009900"/>
          <a:chExt cx="324000" cy="325465"/>
        </a:xfrm>
      </xdr:grpSpPr>
      <xdr:sp macro="" textlink="">
        <xdr:nvSpPr>
          <xdr:cNvPr id="86" name="Rechteck 85">
            <a:extLst>
              <a:ext uri="{FF2B5EF4-FFF2-40B4-BE49-F238E27FC236}">
                <a16:creationId xmlns:a16="http://schemas.microsoft.com/office/drawing/2014/main" id="{00000000-0008-0000-0F00-00005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7" name="Pfeil nach links 86">
            <a:extLst>
              <a:ext uri="{FF2B5EF4-FFF2-40B4-BE49-F238E27FC236}">
                <a16:creationId xmlns:a16="http://schemas.microsoft.com/office/drawing/2014/main" id="{00000000-0008-0000-0F00-00005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328</xdr:row>
      <xdr:rowOff>9525</xdr:rowOff>
    </xdr:from>
    <xdr:to>
      <xdr:col>1</xdr:col>
      <xdr:colOff>372675</xdr:colOff>
      <xdr:row>329</xdr:row>
      <xdr:rowOff>10725</xdr:rowOff>
    </xdr:to>
    <xdr:grpSp>
      <xdr:nvGrpSpPr>
        <xdr:cNvPr id="88" name="Gruppieren 8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F00-000058000000}"/>
            </a:ext>
          </a:extLst>
        </xdr:cNvPr>
        <xdr:cNvGrpSpPr>
          <a:grpSpLocks noChangeAspect="1"/>
        </xdr:cNvGrpSpPr>
      </xdr:nvGrpSpPr>
      <xdr:grpSpPr>
        <a:xfrm>
          <a:off x="74295" y="64543305"/>
          <a:ext cx="306000" cy="306000"/>
          <a:chOff x="9191625" y="3009900"/>
          <a:chExt cx="324000" cy="325465"/>
        </a:xfrm>
      </xdr:grpSpPr>
      <xdr:sp macro="" textlink="">
        <xdr:nvSpPr>
          <xdr:cNvPr id="89" name="Rechteck 88">
            <a:extLst>
              <a:ext uri="{FF2B5EF4-FFF2-40B4-BE49-F238E27FC236}">
                <a16:creationId xmlns:a16="http://schemas.microsoft.com/office/drawing/2014/main" id="{00000000-0008-0000-0F00-00005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0" name="Pfeil nach links 89">
            <a:extLst>
              <a:ext uri="{FF2B5EF4-FFF2-40B4-BE49-F238E27FC236}">
                <a16:creationId xmlns:a16="http://schemas.microsoft.com/office/drawing/2014/main" id="{00000000-0008-0000-0F00-00005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340</xdr:row>
      <xdr:rowOff>9525</xdr:rowOff>
    </xdr:from>
    <xdr:to>
      <xdr:col>1</xdr:col>
      <xdr:colOff>372675</xdr:colOff>
      <xdr:row>341</xdr:row>
      <xdr:rowOff>10725</xdr:rowOff>
    </xdr:to>
    <xdr:grpSp>
      <xdr:nvGrpSpPr>
        <xdr:cNvPr id="91" name="Gruppieren 90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F00-00005B000000}"/>
            </a:ext>
          </a:extLst>
        </xdr:cNvPr>
        <xdr:cNvGrpSpPr>
          <a:grpSpLocks noChangeAspect="1"/>
        </xdr:cNvGrpSpPr>
      </xdr:nvGrpSpPr>
      <xdr:grpSpPr>
        <a:xfrm>
          <a:off x="74295" y="66875025"/>
          <a:ext cx="306000" cy="306000"/>
          <a:chOff x="9191625" y="3009900"/>
          <a:chExt cx="324000" cy="325465"/>
        </a:xfrm>
      </xdr:grpSpPr>
      <xdr:sp macro="" textlink="">
        <xdr:nvSpPr>
          <xdr:cNvPr id="92" name="Rechteck 91">
            <a:extLst>
              <a:ext uri="{FF2B5EF4-FFF2-40B4-BE49-F238E27FC236}">
                <a16:creationId xmlns:a16="http://schemas.microsoft.com/office/drawing/2014/main" id="{00000000-0008-0000-0F00-00005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3" name="Pfeil nach links 92">
            <a:extLst>
              <a:ext uri="{FF2B5EF4-FFF2-40B4-BE49-F238E27FC236}">
                <a16:creationId xmlns:a16="http://schemas.microsoft.com/office/drawing/2014/main" id="{00000000-0008-0000-0F00-00005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352</xdr:row>
      <xdr:rowOff>9525</xdr:rowOff>
    </xdr:from>
    <xdr:to>
      <xdr:col>1</xdr:col>
      <xdr:colOff>372675</xdr:colOff>
      <xdr:row>353</xdr:row>
      <xdr:rowOff>10725</xdr:rowOff>
    </xdr:to>
    <xdr:grpSp>
      <xdr:nvGrpSpPr>
        <xdr:cNvPr id="94" name="Gruppieren 93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0F00-00005E000000}"/>
            </a:ext>
          </a:extLst>
        </xdr:cNvPr>
        <xdr:cNvGrpSpPr>
          <a:grpSpLocks noChangeAspect="1"/>
        </xdr:cNvGrpSpPr>
      </xdr:nvGrpSpPr>
      <xdr:grpSpPr>
        <a:xfrm>
          <a:off x="74295" y="69206745"/>
          <a:ext cx="306000" cy="306000"/>
          <a:chOff x="9191625" y="3009900"/>
          <a:chExt cx="324000" cy="325465"/>
        </a:xfrm>
      </xdr:grpSpPr>
      <xdr:sp macro="" textlink="">
        <xdr:nvSpPr>
          <xdr:cNvPr id="95" name="Rechteck 94">
            <a:extLst>
              <a:ext uri="{FF2B5EF4-FFF2-40B4-BE49-F238E27FC236}">
                <a16:creationId xmlns:a16="http://schemas.microsoft.com/office/drawing/2014/main" id="{00000000-0008-0000-0F00-00005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6" name="Pfeil nach links 95">
            <a:extLst>
              <a:ext uri="{FF2B5EF4-FFF2-40B4-BE49-F238E27FC236}">
                <a16:creationId xmlns:a16="http://schemas.microsoft.com/office/drawing/2014/main" id="{00000000-0008-0000-0F00-00006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364</xdr:row>
      <xdr:rowOff>9525</xdr:rowOff>
    </xdr:from>
    <xdr:to>
      <xdr:col>1</xdr:col>
      <xdr:colOff>372675</xdr:colOff>
      <xdr:row>365</xdr:row>
      <xdr:rowOff>10725</xdr:rowOff>
    </xdr:to>
    <xdr:grpSp>
      <xdr:nvGrpSpPr>
        <xdr:cNvPr id="97" name="Gruppieren 96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F00-000061000000}"/>
            </a:ext>
          </a:extLst>
        </xdr:cNvPr>
        <xdr:cNvGrpSpPr>
          <a:grpSpLocks noChangeAspect="1"/>
        </xdr:cNvGrpSpPr>
      </xdr:nvGrpSpPr>
      <xdr:grpSpPr>
        <a:xfrm>
          <a:off x="74295" y="71538465"/>
          <a:ext cx="306000" cy="306000"/>
          <a:chOff x="9191625" y="3009900"/>
          <a:chExt cx="324000" cy="325465"/>
        </a:xfrm>
      </xdr:grpSpPr>
      <xdr:sp macro="" textlink="">
        <xdr:nvSpPr>
          <xdr:cNvPr id="98" name="Rechteck 97">
            <a:extLst>
              <a:ext uri="{FF2B5EF4-FFF2-40B4-BE49-F238E27FC236}">
                <a16:creationId xmlns:a16="http://schemas.microsoft.com/office/drawing/2014/main" id="{00000000-0008-0000-0F00-00006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9" name="Pfeil nach links 98">
            <a:extLst>
              <a:ext uri="{FF2B5EF4-FFF2-40B4-BE49-F238E27FC236}">
                <a16:creationId xmlns:a16="http://schemas.microsoft.com/office/drawing/2014/main" id="{00000000-0008-0000-0F00-00006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376</xdr:row>
      <xdr:rowOff>9525</xdr:rowOff>
    </xdr:from>
    <xdr:to>
      <xdr:col>1</xdr:col>
      <xdr:colOff>372675</xdr:colOff>
      <xdr:row>377</xdr:row>
      <xdr:rowOff>10725</xdr:rowOff>
    </xdr:to>
    <xdr:grpSp>
      <xdr:nvGrpSpPr>
        <xdr:cNvPr id="100" name="Gruppieren 9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0F00-000064000000}"/>
            </a:ext>
          </a:extLst>
        </xdr:cNvPr>
        <xdr:cNvGrpSpPr>
          <a:grpSpLocks noChangeAspect="1"/>
        </xdr:cNvGrpSpPr>
      </xdr:nvGrpSpPr>
      <xdr:grpSpPr>
        <a:xfrm>
          <a:off x="74295" y="73870185"/>
          <a:ext cx="306000" cy="306000"/>
          <a:chOff x="9191625" y="3009900"/>
          <a:chExt cx="324000" cy="325465"/>
        </a:xfrm>
      </xdr:grpSpPr>
      <xdr:sp macro="" textlink="">
        <xdr:nvSpPr>
          <xdr:cNvPr id="101" name="Rechteck 100">
            <a:extLst>
              <a:ext uri="{FF2B5EF4-FFF2-40B4-BE49-F238E27FC236}">
                <a16:creationId xmlns:a16="http://schemas.microsoft.com/office/drawing/2014/main" id="{00000000-0008-0000-0F00-00006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2" name="Pfeil nach links 101">
            <a:extLst>
              <a:ext uri="{FF2B5EF4-FFF2-40B4-BE49-F238E27FC236}">
                <a16:creationId xmlns:a16="http://schemas.microsoft.com/office/drawing/2014/main" id="{00000000-0008-0000-0F00-00006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388</xdr:row>
      <xdr:rowOff>9525</xdr:rowOff>
    </xdr:from>
    <xdr:to>
      <xdr:col>1</xdr:col>
      <xdr:colOff>372675</xdr:colOff>
      <xdr:row>389</xdr:row>
      <xdr:rowOff>10725</xdr:rowOff>
    </xdr:to>
    <xdr:grpSp>
      <xdr:nvGrpSpPr>
        <xdr:cNvPr id="103" name="Gruppieren 10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F00-000067000000}"/>
            </a:ext>
          </a:extLst>
        </xdr:cNvPr>
        <xdr:cNvGrpSpPr>
          <a:grpSpLocks noChangeAspect="1"/>
        </xdr:cNvGrpSpPr>
      </xdr:nvGrpSpPr>
      <xdr:grpSpPr>
        <a:xfrm>
          <a:off x="74295" y="76201905"/>
          <a:ext cx="306000" cy="306000"/>
          <a:chOff x="9191625" y="3009900"/>
          <a:chExt cx="324000" cy="325465"/>
        </a:xfrm>
      </xdr:grpSpPr>
      <xdr:sp macro="" textlink="">
        <xdr:nvSpPr>
          <xdr:cNvPr id="104" name="Rechteck 103">
            <a:extLst>
              <a:ext uri="{FF2B5EF4-FFF2-40B4-BE49-F238E27FC236}">
                <a16:creationId xmlns:a16="http://schemas.microsoft.com/office/drawing/2014/main" id="{00000000-0008-0000-0F00-00006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5" name="Pfeil nach links 104">
            <a:extLst>
              <a:ext uri="{FF2B5EF4-FFF2-40B4-BE49-F238E27FC236}">
                <a16:creationId xmlns:a16="http://schemas.microsoft.com/office/drawing/2014/main" id="{00000000-0008-0000-0F00-00006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400</xdr:row>
      <xdr:rowOff>9525</xdr:rowOff>
    </xdr:from>
    <xdr:to>
      <xdr:col>1</xdr:col>
      <xdr:colOff>372675</xdr:colOff>
      <xdr:row>401</xdr:row>
      <xdr:rowOff>10725</xdr:rowOff>
    </xdr:to>
    <xdr:grpSp>
      <xdr:nvGrpSpPr>
        <xdr:cNvPr id="106" name="Gruppieren 105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0F00-00006A000000}"/>
            </a:ext>
          </a:extLst>
        </xdr:cNvPr>
        <xdr:cNvGrpSpPr>
          <a:grpSpLocks noChangeAspect="1"/>
        </xdr:cNvGrpSpPr>
      </xdr:nvGrpSpPr>
      <xdr:grpSpPr>
        <a:xfrm>
          <a:off x="74295" y="78533625"/>
          <a:ext cx="306000" cy="306000"/>
          <a:chOff x="9191625" y="3009900"/>
          <a:chExt cx="324000" cy="325465"/>
        </a:xfrm>
      </xdr:grpSpPr>
      <xdr:sp macro="" textlink="">
        <xdr:nvSpPr>
          <xdr:cNvPr id="107" name="Rechteck 106">
            <a:extLst>
              <a:ext uri="{FF2B5EF4-FFF2-40B4-BE49-F238E27FC236}">
                <a16:creationId xmlns:a16="http://schemas.microsoft.com/office/drawing/2014/main" id="{00000000-0008-0000-0F00-00006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8" name="Pfeil nach links 107">
            <a:extLst>
              <a:ext uri="{FF2B5EF4-FFF2-40B4-BE49-F238E27FC236}">
                <a16:creationId xmlns:a16="http://schemas.microsoft.com/office/drawing/2014/main" id="{00000000-0008-0000-0F00-00006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412</xdr:row>
      <xdr:rowOff>9525</xdr:rowOff>
    </xdr:from>
    <xdr:to>
      <xdr:col>1</xdr:col>
      <xdr:colOff>372675</xdr:colOff>
      <xdr:row>413</xdr:row>
      <xdr:rowOff>10725</xdr:rowOff>
    </xdr:to>
    <xdr:grpSp>
      <xdr:nvGrpSpPr>
        <xdr:cNvPr id="109" name="Gruppieren 108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F00-00006D000000}"/>
            </a:ext>
          </a:extLst>
        </xdr:cNvPr>
        <xdr:cNvGrpSpPr>
          <a:grpSpLocks noChangeAspect="1"/>
        </xdr:cNvGrpSpPr>
      </xdr:nvGrpSpPr>
      <xdr:grpSpPr>
        <a:xfrm>
          <a:off x="74295" y="80865345"/>
          <a:ext cx="306000" cy="306000"/>
          <a:chOff x="9191625" y="3009900"/>
          <a:chExt cx="324000" cy="325465"/>
        </a:xfrm>
      </xdr:grpSpPr>
      <xdr:sp macro="" textlink="">
        <xdr:nvSpPr>
          <xdr:cNvPr id="110" name="Rechteck 109">
            <a:extLst>
              <a:ext uri="{FF2B5EF4-FFF2-40B4-BE49-F238E27FC236}">
                <a16:creationId xmlns:a16="http://schemas.microsoft.com/office/drawing/2014/main" id="{00000000-0008-0000-0F00-00006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1" name="Pfeil nach links 110">
            <a:extLst>
              <a:ext uri="{FF2B5EF4-FFF2-40B4-BE49-F238E27FC236}">
                <a16:creationId xmlns:a16="http://schemas.microsoft.com/office/drawing/2014/main" id="{00000000-0008-0000-0F00-00006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424</xdr:row>
      <xdr:rowOff>9525</xdr:rowOff>
    </xdr:from>
    <xdr:to>
      <xdr:col>1</xdr:col>
      <xdr:colOff>372675</xdr:colOff>
      <xdr:row>425</xdr:row>
      <xdr:rowOff>10725</xdr:rowOff>
    </xdr:to>
    <xdr:grpSp>
      <xdr:nvGrpSpPr>
        <xdr:cNvPr id="112" name="Gruppieren 111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0F00-000070000000}"/>
            </a:ext>
          </a:extLst>
        </xdr:cNvPr>
        <xdr:cNvGrpSpPr>
          <a:grpSpLocks noChangeAspect="1"/>
        </xdr:cNvGrpSpPr>
      </xdr:nvGrpSpPr>
      <xdr:grpSpPr>
        <a:xfrm>
          <a:off x="74295" y="83197065"/>
          <a:ext cx="306000" cy="306000"/>
          <a:chOff x="9191625" y="3009900"/>
          <a:chExt cx="324000" cy="325465"/>
        </a:xfrm>
      </xdr:grpSpPr>
      <xdr:sp macro="" textlink="">
        <xdr:nvSpPr>
          <xdr:cNvPr id="113" name="Rechteck 112">
            <a:extLst>
              <a:ext uri="{FF2B5EF4-FFF2-40B4-BE49-F238E27FC236}">
                <a16:creationId xmlns:a16="http://schemas.microsoft.com/office/drawing/2014/main" id="{00000000-0008-0000-0F00-00007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4" name="Pfeil nach links 113">
            <a:extLst>
              <a:ext uri="{FF2B5EF4-FFF2-40B4-BE49-F238E27FC236}">
                <a16:creationId xmlns:a16="http://schemas.microsoft.com/office/drawing/2014/main" id="{00000000-0008-0000-0F00-00007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436</xdr:row>
      <xdr:rowOff>9525</xdr:rowOff>
    </xdr:from>
    <xdr:to>
      <xdr:col>1</xdr:col>
      <xdr:colOff>372675</xdr:colOff>
      <xdr:row>437</xdr:row>
      <xdr:rowOff>10725</xdr:rowOff>
    </xdr:to>
    <xdr:grpSp>
      <xdr:nvGrpSpPr>
        <xdr:cNvPr id="115" name="Gruppieren 11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F00-000073000000}"/>
            </a:ext>
          </a:extLst>
        </xdr:cNvPr>
        <xdr:cNvGrpSpPr>
          <a:grpSpLocks noChangeAspect="1"/>
        </xdr:cNvGrpSpPr>
      </xdr:nvGrpSpPr>
      <xdr:grpSpPr>
        <a:xfrm>
          <a:off x="74295" y="85528785"/>
          <a:ext cx="306000" cy="306000"/>
          <a:chOff x="9191625" y="3009900"/>
          <a:chExt cx="324000" cy="325465"/>
        </a:xfrm>
      </xdr:grpSpPr>
      <xdr:sp macro="" textlink="">
        <xdr:nvSpPr>
          <xdr:cNvPr id="116" name="Rechteck 115">
            <a:extLst>
              <a:ext uri="{FF2B5EF4-FFF2-40B4-BE49-F238E27FC236}">
                <a16:creationId xmlns:a16="http://schemas.microsoft.com/office/drawing/2014/main" id="{00000000-0008-0000-0F00-00007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7" name="Pfeil nach links 116">
            <a:extLst>
              <a:ext uri="{FF2B5EF4-FFF2-40B4-BE49-F238E27FC236}">
                <a16:creationId xmlns:a16="http://schemas.microsoft.com/office/drawing/2014/main" id="{00000000-0008-0000-0F00-00007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448</xdr:row>
      <xdr:rowOff>9525</xdr:rowOff>
    </xdr:from>
    <xdr:to>
      <xdr:col>1</xdr:col>
      <xdr:colOff>372675</xdr:colOff>
      <xdr:row>449</xdr:row>
      <xdr:rowOff>10725</xdr:rowOff>
    </xdr:to>
    <xdr:grpSp>
      <xdr:nvGrpSpPr>
        <xdr:cNvPr id="118" name="Gruppieren 117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0F00-000076000000}"/>
            </a:ext>
          </a:extLst>
        </xdr:cNvPr>
        <xdr:cNvGrpSpPr>
          <a:grpSpLocks noChangeAspect="1"/>
        </xdr:cNvGrpSpPr>
      </xdr:nvGrpSpPr>
      <xdr:grpSpPr>
        <a:xfrm>
          <a:off x="74295" y="87860505"/>
          <a:ext cx="306000" cy="306000"/>
          <a:chOff x="9191625" y="3009900"/>
          <a:chExt cx="324000" cy="325465"/>
        </a:xfrm>
      </xdr:grpSpPr>
      <xdr:sp macro="" textlink="">
        <xdr:nvSpPr>
          <xdr:cNvPr id="119" name="Rechteck 118">
            <a:extLst>
              <a:ext uri="{FF2B5EF4-FFF2-40B4-BE49-F238E27FC236}">
                <a16:creationId xmlns:a16="http://schemas.microsoft.com/office/drawing/2014/main" id="{00000000-0008-0000-0F00-00007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0" name="Pfeil nach links 119">
            <a:extLst>
              <a:ext uri="{FF2B5EF4-FFF2-40B4-BE49-F238E27FC236}">
                <a16:creationId xmlns:a16="http://schemas.microsoft.com/office/drawing/2014/main" id="{00000000-0008-0000-0F00-00007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460</xdr:row>
      <xdr:rowOff>9525</xdr:rowOff>
    </xdr:from>
    <xdr:to>
      <xdr:col>1</xdr:col>
      <xdr:colOff>372675</xdr:colOff>
      <xdr:row>461</xdr:row>
      <xdr:rowOff>10725</xdr:rowOff>
    </xdr:to>
    <xdr:grpSp>
      <xdr:nvGrpSpPr>
        <xdr:cNvPr id="121" name="Gruppieren 120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0F00-000079000000}"/>
            </a:ext>
          </a:extLst>
        </xdr:cNvPr>
        <xdr:cNvGrpSpPr>
          <a:grpSpLocks noChangeAspect="1"/>
        </xdr:cNvGrpSpPr>
      </xdr:nvGrpSpPr>
      <xdr:grpSpPr>
        <a:xfrm>
          <a:off x="74295" y="90192225"/>
          <a:ext cx="306000" cy="306000"/>
          <a:chOff x="9191625" y="3009900"/>
          <a:chExt cx="324000" cy="325465"/>
        </a:xfrm>
      </xdr:grpSpPr>
      <xdr:sp macro="" textlink="">
        <xdr:nvSpPr>
          <xdr:cNvPr id="122" name="Rechteck 121">
            <a:extLst>
              <a:ext uri="{FF2B5EF4-FFF2-40B4-BE49-F238E27FC236}">
                <a16:creationId xmlns:a16="http://schemas.microsoft.com/office/drawing/2014/main" id="{00000000-0008-0000-0F00-00007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3" name="Pfeil nach links 122">
            <a:extLst>
              <a:ext uri="{FF2B5EF4-FFF2-40B4-BE49-F238E27FC236}">
                <a16:creationId xmlns:a16="http://schemas.microsoft.com/office/drawing/2014/main" id="{00000000-0008-0000-0F00-00007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472</xdr:row>
      <xdr:rowOff>9525</xdr:rowOff>
    </xdr:from>
    <xdr:to>
      <xdr:col>1</xdr:col>
      <xdr:colOff>372675</xdr:colOff>
      <xdr:row>473</xdr:row>
      <xdr:rowOff>10725</xdr:rowOff>
    </xdr:to>
    <xdr:grpSp>
      <xdr:nvGrpSpPr>
        <xdr:cNvPr id="124" name="Gruppieren 123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0F00-00007C000000}"/>
            </a:ext>
          </a:extLst>
        </xdr:cNvPr>
        <xdr:cNvGrpSpPr>
          <a:grpSpLocks noChangeAspect="1"/>
        </xdr:cNvGrpSpPr>
      </xdr:nvGrpSpPr>
      <xdr:grpSpPr>
        <a:xfrm>
          <a:off x="74295" y="92523945"/>
          <a:ext cx="306000" cy="306000"/>
          <a:chOff x="9191625" y="3009900"/>
          <a:chExt cx="324000" cy="325465"/>
        </a:xfrm>
      </xdr:grpSpPr>
      <xdr:sp macro="" textlink="">
        <xdr:nvSpPr>
          <xdr:cNvPr id="125" name="Rechteck 124">
            <a:extLst>
              <a:ext uri="{FF2B5EF4-FFF2-40B4-BE49-F238E27FC236}">
                <a16:creationId xmlns:a16="http://schemas.microsoft.com/office/drawing/2014/main" id="{00000000-0008-0000-0F00-00007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6" name="Pfeil nach links 125">
            <a:extLst>
              <a:ext uri="{FF2B5EF4-FFF2-40B4-BE49-F238E27FC236}">
                <a16:creationId xmlns:a16="http://schemas.microsoft.com/office/drawing/2014/main" id="{00000000-0008-0000-0F00-00007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496</xdr:row>
      <xdr:rowOff>9525</xdr:rowOff>
    </xdr:from>
    <xdr:to>
      <xdr:col>1</xdr:col>
      <xdr:colOff>372675</xdr:colOff>
      <xdr:row>497</xdr:row>
      <xdr:rowOff>10725</xdr:rowOff>
    </xdr:to>
    <xdr:grpSp>
      <xdr:nvGrpSpPr>
        <xdr:cNvPr id="127" name="Gruppieren 126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0F00-00007F000000}"/>
            </a:ext>
          </a:extLst>
        </xdr:cNvPr>
        <xdr:cNvGrpSpPr>
          <a:grpSpLocks noChangeAspect="1"/>
        </xdr:cNvGrpSpPr>
      </xdr:nvGrpSpPr>
      <xdr:grpSpPr>
        <a:xfrm>
          <a:off x="74295" y="97187385"/>
          <a:ext cx="306000" cy="306000"/>
          <a:chOff x="9191625" y="3009900"/>
          <a:chExt cx="324000" cy="325465"/>
        </a:xfrm>
      </xdr:grpSpPr>
      <xdr:sp macro="" textlink="">
        <xdr:nvSpPr>
          <xdr:cNvPr id="128" name="Rechteck 127">
            <a:extLst>
              <a:ext uri="{FF2B5EF4-FFF2-40B4-BE49-F238E27FC236}">
                <a16:creationId xmlns:a16="http://schemas.microsoft.com/office/drawing/2014/main" id="{00000000-0008-0000-0F00-00008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9" name="Pfeil nach links 128">
            <a:extLst>
              <a:ext uri="{FF2B5EF4-FFF2-40B4-BE49-F238E27FC236}">
                <a16:creationId xmlns:a16="http://schemas.microsoft.com/office/drawing/2014/main" id="{00000000-0008-0000-0F00-00008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508</xdr:row>
      <xdr:rowOff>9525</xdr:rowOff>
    </xdr:from>
    <xdr:to>
      <xdr:col>1</xdr:col>
      <xdr:colOff>372675</xdr:colOff>
      <xdr:row>509</xdr:row>
      <xdr:rowOff>10725</xdr:rowOff>
    </xdr:to>
    <xdr:grpSp>
      <xdr:nvGrpSpPr>
        <xdr:cNvPr id="130" name="Gruppieren 129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00000000-0008-0000-0F00-000082000000}"/>
            </a:ext>
          </a:extLst>
        </xdr:cNvPr>
        <xdr:cNvGrpSpPr>
          <a:grpSpLocks noChangeAspect="1"/>
        </xdr:cNvGrpSpPr>
      </xdr:nvGrpSpPr>
      <xdr:grpSpPr>
        <a:xfrm>
          <a:off x="74295" y="99519105"/>
          <a:ext cx="306000" cy="306000"/>
          <a:chOff x="9191625" y="3009900"/>
          <a:chExt cx="324000" cy="325465"/>
        </a:xfrm>
      </xdr:grpSpPr>
      <xdr:sp macro="" textlink="">
        <xdr:nvSpPr>
          <xdr:cNvPr id="131" name="Rechteck 130">
            <a:extLst>
              <a:ext uri="{FF2B5EF4-FFF2-40B4-BE49-F238E27FC236}">
                <a16:creationId xmlns:a16="http://schemas.microsoft.com/office/drawing/2014/main" id="{00000000-0008-0000-0F00-00008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2" name="Pfeil nach links 131">
            <a:extLst>
              <a:ext uri="{FF2B5EF4-FFF2-40B4-BE49-F238E27FC236}">
                <a16:creationId xmlns:a16="http://schemas.microsoft.com/office/drawing/2014/main" id="{00000000-0008-0000-0F00-00008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520</xdr:row>
      <xdr:rowOff>9525</xdr:rowOff>
    </xdr:from>
    <xdr:to>
      <xdr:col>1</xdr:col>
      <xdr:colOff>372675</xdr:colOff>
      <xdr:row>521</xdr:row>
      <xdr:rowOff>10725</xdr:rowOff>
    </xdr:to>
    <xdr:grpSp>
      <xdr:nvGrpSpPr>
        <xdr:cNvPr id="133" name="Gruppieren 132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00000000-0008-0000-0F00-000085000000}"/>
            </a:ext>
          </a:extLst>
        </xdr:cNvPr>
        <xdr:cNvGrpSpPr>
          <a:grpSpLocks noChangeAspect="1"/>
        </xdr:cNvGrpSpPr>
      </xdr:nvGrpSpPr>
      <xdr:grpSpPr>
        <a:xfrm>
          <a:off x="74295" y="101850825"/>
          <a:ext cx="306000" cy="306000"/>
          <a:chOff x="9191625" y="3009900"/>
          <a:chExt cx="324000" cy="325465"/>
        </a:xfrm>
      </xdr:grpSpPr>
      <xdr:sp macro="" textlink="">
        <xdr:nvSpPr>
          <xdr:cNvPr id="134" name="Rechteck 133">
            <a:extLst>
              <a:ext uri="{FF2B5EF4-FFF2-40B4-BE49-F238E27FC236}">
                <a16:creationId xmlns:a16="http://schemas.microsoft.com/office/drawing/2014/main" id="{00000000-0008-0000-0F00-00008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5" name="Pfeil nach links 134">
            <a:extLst>
              <a:ext uri="{FF2B5EF4-FFF2-40B4-BE49-F238E27FC236}">
                <a16:creationId xmlns:a16="http://schemas.microsoft.com/office/drawing/2014/main" id="{00000000-0008-0000-0F00-00008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532</xdr:row>
      <xdr:rowOff>9525</xdr:rowOff>
    </xdr:from>
    <xdr:to>
      <xdr:col>1</xdr:col>
      <xdr:colOff>372675</xdr:colOff>
      <xdr:row>533</xdr:row>
      <xdr:rowOff>10725</xdr:rowOff>
    </xdr:to>
    <xdr:grpSp>
      <xdr:nvGrpSpPr>
        <xdr:cNvPr id="136" name="Gruppieren 135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00000000-0008-0000-0F00-000088000000}"/>
            </a:ext>
          </a:extLst>
        </xdr:cNvPr>
        <xdr:cNvGrpSpPr>
          <a:grpSpLocks noChangeAspect="1"/>
        </xdr:cNvGrpSpPr>
      </xdr:nvGrpSpPr>
      <xdr:grpSpPr>
        <a:xfrm>
          <a:off x="74295" y="104182545"/>
          <a:ext cx="306000" cy="306000"/>
          <a:chOff x="9191625" y="3009900"/>
          <a:chExt cx="324000" cy="325465"/>
        </a:xfrm>
      </xdr:grpSpPr>
      <xdr:sp macro="" textlink="">
        <xdr:nvSpPr>
          <xdr:cNvPr id="137" name="Rechteck 136">
            <a:extLst>
              <a:ext uri="{FF2B5EF4-FFF2-40B4-BE49-F238E27FC236}">
                <a16:creationId xmlns:a16="http://schemas.microsoft.com/office/drawing/2014/main" id="{00000000-0008-0000-0F00-00008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8" name="Pfeil nach links 137">
            <a:extLst>
              <a:ext uri="{FF2B5EF4-FFF2-40B4-BE49-F238E27FC236}">
                <a16:creationId xmlns:a16="http://schemas.microsoft.com/office/drawing/2014/main" id="{00000000-0008-0000-0F00-00008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544</xdr:row>
      <xdr:rowOff>9525</xdr:rowOff>
    </xdr:from>
    <xdr:to>
      <xdr:col>1</xdr:col>
      <xdr:colOff>372675</xdr:colOff>
      <xdr:row>545</xdr:row>
      <xdr:rowOff>10725</xdr:rowOff>
    </xdr:to>
    <xdr:grpSp>
      <xdr:nvGrpSpPr>
        <xdr:cNvPr id="139" name="Gruppieren 138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0000000-0008-0000-0F00-00008B000000}"/>
            </a:ext>
          </a:extLst>
        </xdr:cNvPr>
        <xdr:cNvGrpSpPr>
          <a:grpSpLocks noChangeAspect="1"/>
        </xdr:cNvGrpSpPr>
      </xdr:nvGrpSpPr>
      <xdr:grpSpPr>
        <a:xfrm>
          <a:off x="74295" y="106514265"/>
          <a:ext cx="306000" cy="306000"/>
          <a:chOff x="9191625" y="3009900"/>
          <a:chExt cx="324000" cy="325465"/>
        </a:xfrm>
      </xdr:grpSpPr>
      <xdr:sp macro="" textlink="">
        <xdr:nvSpPr>
          <xdr:cNvPr id="140" name="Rechteck 139">
            <a:extLst>
              <a:ext uri="{FF2B5EF4-FFF2-40B4-BE49-F238E27FC236}">
                <a16:creationId xmlns:a16="http://schemas.microsoft.com/office/drawing/2014/main" id="{00000000-0008-0000-0F00-00008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1" name="Pfeil nach links 140">
            <a:extLst>
              <a:ext uri="{FF2B5EF4-FFF2-40B4-BE49-F238E27FC236}">
                <a16:creationId xmlns:a16="http://schemas.microsoft.com/office/drawing/2014/main" id="{00000000-0008-0000-0F00-00008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556</xdr:row>
      <xdr:rowOff>9525</xdr:rowOff>
    </xdr:from>
    <xdr:to>
      <xdr:col>1</xdr:col>
      <xdr:colOff>372675</xdr:colOff>
      <xdr:row>557</xdr:row>
      <xdr:rowOff>10725</xdr:rowOff>
    </xdr:to>
    <xdr:grpSp>
      <xdr:nvGrpSpPr>
        <xdr:cNvPr id="142" name="Gruppieren 141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00000000-0008-0000-0F00-00008E000000}"/>
            </a:ext>
          </a:extLst>
        </xdr:cNvPr>
        <xdr:cNvGrpSpPr>
          <a:grpSpLocks noChangeAspect="1"/>
        </xdr:cNvGrpSpPr>
      </xdr:nvGrpSpPr>
      <xdr:grpSpPr>
        <a:xfrm>
          <a:off x="74295" y="108845985"/>
          <a:ext cx="306000" cy="306000"/>
          <a:chOff x="9191625" y="3009900"/>
          <a:chExt cx="324000" cy="325465"/>
        </a:xfrm>
      </xdr:grpSpPr>
      <xdr:sp macro="" textlink="">
        <xdr:nvSpPr>
          <xdr:cNvPr id="143" name="Rechteck 142">
            <a:extLst>
              <a:ext uri="{FF2B5EF4-FFF2-40B4-BE49-F238E27FC236}">
                <a16:creationId xmlns:a16="http://schemas.microsoft.com/office/drawing/2014/main" id="{00000000-0008-0000-0F00-00008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4" name="Pfeil nach links 143">
            <a:extLst>
              <a:ext uri="{FF2B5EF4-FFF2-40B4-BE49-F238E27FC236}">
                <a16:creationId xmlns:a16="http://schemas.microsoft.com/office/drawing/2014/main" id="{00000000-0008-0000-0F00-00009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568</xdr:row>
      <xdr:rowOff>9525</xdr:rowOff>
    </xdr:from>
    <xdr:to>
      <xdr:col>1</xdr:col>
      <xdr:colOff>372675</xdr:colOff>
      <xdr:row>569</xdr:row>
      <xdr:rowOff>10725</xdr:rowOff>
    </xdr:to>
    <xdr:grpSp>
      <xdr:nvGrpSpPr>
        <xdr:cNvPr id="145" name="Gruppieren 144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0000000-0008-0000-0F00-000091000000}"/>
            </a:ext>
          </a:extLst>
        </xdr:cNvPr>
        <xdr:cNvGrpSpPr>
          <a:grpSpLocks noChangeAspect="1"/>
        </xdr:cNvGrpSpPr>
      </xdr:nvGrpSpPr>
      <xdr:grpSpPr>
        <a:xfrm>
          <a:off x="74295" y="111177705"/>
          <a:ext cx="306000" cy="306000"/>
          <a:chOff x="9191625" y="3009900"/>
          <a:chExt cx="324000" cy="325465"/>
        </a:xfrm>
      </xdr:grpSpPr>
      <xdr:sp macro="" textlink="">
        <xdr:nvSpPr>
          <xdr:cNvPr id="146" name="Rechteck 145">
            <a:extLst>
              <a:ext uri="{FF2B5EF4-FFF2-40B4-BE49-F238E27FC236}">
                <a16:creationId xmlns:a16="http://schemas.microsoft.com/office/drawing/2014/main" id="{00000000-0008-0000-0F00-00009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7" name="Pfeil nach links 146">
            <a:extLst>
              <a:ext uri="{FF2B5EF4-FFF2-40B4-BE49-F238E27FC236}">
                <a16:creationId xmlns:a16="http://schemas.microsoft.com/office/drawing/2014/main" id="{00000000-0008-0000-0F00-00009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580</xdr:row>
      <xdr:rowOff>9525</xdr:rowOff>
    </xdr:from>
    <xdr:to>
      <xdr:col>1</xdr:col>
      <xdr:colOff>372675</xdr:colOff>
      <xdr:row>581</xdr:row>
      <xdr:rowOff>10725</xdr:rowOff>
    </xdr:to>
    <xdr:grpSp>
      <xdr:nvGrpSpPr>
        <xdr:cNvPr id="148" name="Gruppieren 147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00000000-0008-0000-0F00-000094000000}"/>
            </a:ext>
          </a:extLst>
        </xdr:cNvPr>
        <xdr:cNvGrpSpPr>
          <a:grpSpLocks noChangeAspect="1"/>
        </xdr:cNvGrpSpPr>
      </xdr:nvGrpSpPr>
      <xdr:grpSpPr>
        <a:xfrm>
          <a:off x="74295" y="113509425"/>
          <a:ext cx="306000" cy="306000"/>
          <a:chOff x="9191625" y="3009900"/>
          <a:chExt cx="324000" cy="325465"/>
        </a:xfrm>
      </xdr:grpSpPr>
      <xdr:sp macro="" textlink="">
        <xdr:nvSpPr>
          <xdr:cNvPr id="149" name="Rechteck 148">
            <a:extLst>
              <a:ext uri="{FF2B5EF4-FFF2-40B4-BE49-F238E27FC236}">
                <a16:creationId xmlns:a16="http://schemas.microsoft.com/office/drawing/2014/main" id="{00000000-0008-0000-0F00-00009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0" name="Pfeil nach links 149">
            <a:extLst>
              <a:ext uri="{FF2B5EF4-FFF2-40B4-BE49-F238E27FC236}">
                <a16:creationId xmlns:a16="http://schemas.microsoft.com/office/drawing/2014/main" id="{00000000-0008-0000-0F00-00009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592</xdr:row>
      <xdr:rowOff>9525</xdr:rowOff>
    </xdr:from>
    <xdr:to>
      <xdr:col>1</xdr:col>
      <xdr:colOff>372675</xdr:colOff>
      <xdr:row>593</xdr:row>
      <xdr:rowOff>10725</xdr:rowOff>
    </xdr:to>
    <xdr:grpSp>
      <xdr:nvGrpSpPr>
        <xdr:cNvPr id="151" name="Gruppieren 150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0F00-000097000000}"/>
            </a:ext>
          </a:extLst>
        </xdr:cNvPr>
        <xdr:cNvGrpSpPr>
          <a:grpSpLocks noChangeAspect="1"/>
        </xdr:cNvGrpSpPr>
      </xdr:nvGrpSpPr>
      <xdr:grpSpPr>
        <a:xfrm>
          <a:off x="74295" y="115841145"/>
          <a:ext cx="306000" cy="306000"/>
          <a:chOff x="9191625" y="3009900"/>
          <a:chExt cx="324000" cy="325465"/>
        </a:xfrm>
      </xdr:grpSpPr>
      <xdr:sp macro="" textlink="">
        <xdr:nvSpPr>
          <xdr:cNvPr id="152" name="Rechteck 151">
            <a:extLst>
              <a:ext uri="{FF2B5EF4-FFF2-40B4-BE49-F238E27FC236}">
                <a16:creationId xmlns:a16="http://schemas.microsoft.com/office/drawing/2014/main" id="{00000000-0008-0000-0F00-00009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3" name="Pfeil nach links 152">
            <a:extLst>
              <a:ext uri="{FF2B5EF4-FFF2-40B4-BE49-F238E27FC236}">
                <a16:creationId xmlns:a16="http://schemas.microsoft.com/office/drawing/2014/main" id="{00000000-0008-0000-0F00-00009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604</xdr:row>
      <xdr:rowOff>9525</xdr:rowOff>
    </xdr:from>
    <xdr:to>
      <xdr:col>1</xdr:col>
      <xdr:colOff>372675</xdr:colOff>
      <xdr:row>605</xdr:row>
      <xdr:rowOff>10725</xdr:rowOff>
    </xdr:to>
    <xdr:grpSp>
      <xdr:nvGrpSpPr>
        <xdr:cNvPr id="154" name="Gruppieren 153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00000000-0008-0000-0F00-00009A000000}"/>
            </a:ext>
          </a:extLst>
        </xdr:cNvPr>
        <xdr:cNvGrpSpPr>
          <a:grpSpLocks noChangeAspect="1"/>
        </xdr:cNvGrpSpPr>
      </xdr:nvGrpSpPr>
      <xdr:grpSpPr>
        <a:xfrm>
          <a:off x="74295" y="118172865"/>
          <a:ext cx="306000" cy="306000"/>
          <a:chOff x="9191625" y="3009900"/>
          <a:chExt cx="324000" cy="325465"/>
        </a:xfrm>
      </xdr:grpSpPr>
      <xdr:sp macro="" textlink="">
        <xdr:nvSpPr>
          <xdr:cNvPr id="155" name="Rechteck 154">
            <a:extLst>
              <a:ext uri="{FF2B5EF4-FFF2-40B4-BE49-F238E27FC236}">
                <a16:creationId xmlns:a16="http://schemas.microsoft.com/office/drawing/2014/main" id="{00000000-0008-0000-0F00-00009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6" name="Pfeil nach links 155">
            <a:extLst>
              <a:ext uri="{FF2B5EF4-FFF2-40B4-BE49-F238E27FC236}">
                <a16:creationId xmlns:a16="http://schemas.microsoft.com/office/drawing/2014/main" id="{00000000-0008-0000-0F00-00009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616</xdr:row>
      <xdr:rowOff>9525</xdr:rowOff>
    </xdr:from>
    <xdr:to>
      <xdr:col>1</xdr:col>
      <xdr:colOff>372675</xdr:colOff>
      <xdr:row>617</xdr:row>
      <xdr:rowOff>10725</xdr:rowOff>
    </xdr:to>
    <xdr:grpSp>
      <xdr:nvGrpSpPr>
        <xdr:cNvPr id="157" name="Gruppieren 156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0F00-00009D000000}"/>
            </a:ext>
          </a:extLst>
        </xdr:cNvPr>
        <xdr:cNvGrpSpPr>
          <a:grpSpLocks noChangeAspect="1"/>
        </xdr:cNvGrpSpPr>
      </xdr:nvGrpSpPr>
      <xdr:grpSpPr>
        <a:xfrm>
          <a:off x="74295" y="120504585"/>
          <a:ext cx="306000" cy="306000"/>
          <a:chOff x="9191625" y="3009900"/>
          <a:chExt cx="324000" cy="325465"/>
        </a:xfrm>
      </xdr:grpSpPr>
      <xdr:sp macro="" textlink="">
        <xdr:nvSpPr>
          <xdr:cNvPr id="158" name="Rechteck 157">
            <a:extLst>
              <a:ext uri="{FF2B5EF4-FFF2-40B4-BE49-F238E27FC236}">
                <a16:creationId xmlns:a16="http://schemas.microsoft.com/office/drawing/2014/main" id="{00000000-0008-0000-0F00-00009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9" name="Pfeil nach links 158">
            <a:extLst>
              <a:ext uri="{FF2B5EF4-FFF2-40B4-BE49-F238E27FC236}">
                <a16:creationId xmlns:a16="http://schemas.microsoft.com/office/drawing/2014/main" id="{00000000-0008-0000-0F00-00009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628</xdr:row>
      <xdr:rowOff>9525</xdr:rowOff>
    </xdr:from>
    <xdr:to>
      <xdr:col>1</xdr:col>
      <xdr:colOff>372675</xdr:colOff>
      <xdr:row>629</xdr:row>
      <xdr:rowOff>10725</xdr:rowOff>
    </xdr:to>
    <xdr:grpSp>
      <xdr:nvGrpSpPr>
        <xdr:cNvPr id="160" name="Gruppieren 159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00000000-0008-0000-0F00-0000A0000000}"/>
            </a:ext>
          </a:extLst>
        </xdr:cNvPr>
        <xdr:cNvGrpSpPr>
          <a:grpSpLocks noChangeAspect="1"/>
        </xdr:cNvGrpSpPr>
      </xdr:nvGrpSpPr>
      <xdr:grpSpPr>
        <a:xfrm>
          <a:off x="74295" y="122836305"/>
          <a:ext cx="306000" cy="306000"/>
          <a:chOff x="9191625" y="3009900"/>
          <a:chExt cx="324000" cy="325465"/>
        </a:xfrm>
      </xdr:grpSpPr>
      <xdr:sp macro="" textlink="">
        <xdr:nvSpPr>
          <xdr:cNvPr id="161" name="Rechteck 160">
            <a:extLst>
              <a:ext uri="{FF2B5EF4-FFF2-40B4-BE49-F238E27FC236}">
                <a16:creationId xmlns:a16="http://schemas.microsoft.com/office/drawing/2014/main" id="{00000000-0008-0000-0F00-0000A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2" name="Pfeil nach links 161">
            <a:extLst>
              <a:ext uri="{FF2B5EF4-FFF2-40B4-BE49-F238E27FC236}">
                <a16:creationId xmlns:a16="http://schemas.microsoft.com/office/drawing/2014/main" id="{00000000-0008-0000-0F00-0000A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640</xdr:row>
      <xdr:rowOff>9525</xdr:rowOff>
    </xdr:from>
    <xdr:to>
      <xdr:col>1</xdr:col>
      <xdr:colOff>372675</xdr:colOff>
      <xdr:row>641</xdr:row>
      <xdr:rowOff>10725</xdr:rowOff>
    </xdr:to>
    <xdr:grpSp>
      <xdr:nvGrpSpPr>
        <xdr:cNvPr id="163" name="Gruppieren 162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0000000-0008-0000-0F00-0000A3000000}"/>
            </a:ext>
          </a:extLst>
        </xdr:cNvPr>
        <xdr:cNvGrpSpPr>
          <a:grpSpLocks noChangeAspect="1"/>
        </xdr:cNvGrpSpPr>
      </xdr:nvGrpSpPr>
      <xdr:grpSpPr>
        <a:xfrm>
          <a:off x="74295" y="125168025"/>
          <a:ext cx="306000" cy="306000"/>
          <a:chOff x="9191625" y="3009900"/>
          <a:chExt cx="324000" cy="325465"/>
        </a:xfrm>
      </xdr:grpSpPr>
      <xdr:sp macro="" textlink="">
        <xdr:nvSpPr>
          <xdr:cNvPr id="164" name="Rechteck 163">
            <a:extLst>
              <a:ext uri="{FF2B5EF4-FFF2-40B4-BE49-F238E27FC236}">
                <a16:creationId xmlns:a16="http://schemas.microsoft.com/office/drawing/2014/main" id="{00000000-0008-0000-0F00-0000A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5" name="Pfeil nach links 164">
            <a:extLst>
              <a:ext uri="{FF2B5EF4-FFF2-40B4-BE49-F238E27FC236}">
                <a16:creationId xmlns:a16="http://schemas.microsoft.com/office/drawing/2014/main" id="{00000000-0008-0000-0F00-0000A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652</xdr:row>
      <xdr:rowOff>9525</xdr:rowOff>
    </xdr:from>
    <xdr:to>
      <xdr:col>1</xdr:col>
      <xdr:colOff>372675</xdr:colOff>
      <xdr:row>653</xdr:row>
      <xdr:rowOff>10725</xdr:rowOff>
    </xdr:to>
    <xdr:grpSp>
      <xdr:nvGrpSpPr>
        <xdr:cNvPr id="166" name="Gruppieren 165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00000000-0008-0000-0F00-0000A6000000}"/>
            </a:ext>
          </a:extLst>
        </xdr:cNvPr>
        <xdr:cNvGrpSpPr>
          <a:grpSpLocks noChangeAspect="1"/>
        </xdr:cNvGrpSpPr>
      </xdr:nvGrpSpPr>
      <xdr:grpSpPr>
        <a:xfrm>
          <a:off x="74295" y="127499745"/>
          <a:ext cx="306000" cy="306000"/>
          <a:chOff x="9191625" y="3009900"/>
          <a:chExt cx="324000" cy="325465"/>
        </a:xfrm>
      </xdr:grpSpPr>
      <xdr:sp macro="" textlink="">
        <xdr:nvSpPr>
          <xdr:cNvPr id="167" name="Rechteck 166">
            <a:extLst>
              <a:ext uri="{FF2B5EF4-FFF2-40B4-BE49-F238E27FC236}">
                <a16:creationId xmlns:a16="http://schemas.microsoft.com/office/drawing/2014/main" id="{00000000-0008-0000-0F00-0000A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8" name="Pfeil nach links 167">
            <a:extLst>
              <a:ext uri="{FF2B5EF4-FFF2-40B4-BE49-F238E27FC236}">
                <a16:creationId xmlns:a16="http://schemas.microsoft.com/office/drawing/2014/main" id="{00000000-0008-0000-0F00-0000A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664</xdr:row>
      <xdr:rowOff>9525</xdr:rowOff>
    </xdr:from>
    <xdr:to>
      <xdr:col>1</xdr:col>
      <xdr:colOff>372675</xdr:colOff>
      <xdr:row>665</xdr:row>
      <xdr:rowOff>10725</xdr:rowOff>
    </xdr:to>
    <xdr:grpSp>
      <xdr:nvGrpSpPr>
        <xdr:cNvPr id="169" name="Gruppieren 168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00000000-0008-0000-0F00-0000A9000000}"/>
            </a:ext>
          </a:extLst>
        </xdr:cNvPr>
        <xdr:cNvGrpSpPr>
          <a:grpSpLocks noChangeAspect="1"/>
        </xdr:cNvGrpSpPr>
      </xdr:nvGrpSpPr>
      <xdr:grpSpPr>
        <a:xfrm>
          <a:off x="74295" y="129831465"/>
          <a:ext cx="306000" cy="306000"/>
          <a:chOff x="9191625" y="3009900"/>
          <a:chExt cx="324000" cy="325465"/>
        </a:xfrm>
      </xdr:grpSpPr>
      <xdr:sp macro="" textlink="">
        <xdr:nvSpPr>
          <xdr:cNvPr id="170" name="Rechteck 169">
            <a:extLst>
              <a:ext uri="{FF2B5EF4-FFF2-40B4-BE49-F238E27FC236}">
                <a16:creationId xmlns:a16="http://schemas.microsoft.com/office/drawing/2014/main" id="{00000000-0008-0000-0F00-0000A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1" name="Pfeil nach links 170">
            <a:extLst>
              <a:ext uri="{FF2B5EF4-FFF2-40B4-BE49-F238E27FC236}">
                <a16:creationId xmlns:a16="http://schemas.microsoft.com/office/drawing/2014/main" id="{00000000-0008-0000-0F00-0000A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676</xdr:row>
      <xdr:rowOff>9525</xdr:rowOff>
    </xdr:from>
    <xdr:to>
      <xdr:col>1</xdr:col>
      <xdr:colOff>372675</xdr:colOff>
      <xdr:row>677</xdr:row>
      <xdr:rowOff>10725</xdr:rowOff>
    </xdr:to>
    <xdr:grpSp>
      <xdr:nvGrpSpPr>
        <xdr:cNvPr id="172" name="Gruppieren 171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00000000-0008-0000-0F00-0000AC000000}"/>
            </a:ext>
          </a:extLst>
        </xdr:cNvPr>
        <xdr:cNvGrpSpPr>
          <a:grpSpLocks noChangeAspect="1"/>
        </xdr:cNvGrpSpPr>
      </xdr:nvGrpSpPr>
      <xdr:grpSpPr>
        <a:xfrm>
          <a:off x="74295" y="132163185"/>
          <a:ext cx="306000" cy="306000"/>
          <a:chOff x="9191625" y="3009900"/>
          <a:chExt cx="324000" cy="325465"/>
        </a:xfrm>
      </xdr:grpSpPr>
      <xdr:sp macro="" textlink="">
        <xdr:nvSpPr>
          <xdr:cNvPr id="173" name="Rechteck 172">
            <a:extLst>
              <a:ext uri="{FF2B5EF4-FFF2-40B4-BE49-F238E27FC236}">
                <a16:creationId xmlns:a16="http://schemas.microsoft.com/office/drawing/2014/main" id="{00000000-0008-0000-0F00-0000A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4" name="Pfeil nach links 173">
            <a:extLst>
              <a:ext uri="{FF2B5EF4-FFF2-40B4-BE49-F238E27FC236}">
                <a16:creationId xmlns:a16="http://schemas.microsoft.com/office/drawing/2014/main" id="{00000000-0008-0000-0F00-0000A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688</xdr:row>
      <xdr:rowOff>9525</xdr:rowOff>
    </xdr:from>
    <xdr:to>
      <xdr:col>1</xdr:col>
      <xdr:colOff>372675</xdr:colOff>
      <xdr:row>689</xdr:row>
      <xdr:rowOff>10725</xdr:rowOff>
    </xdr:to>
    <xdr:grpSp>
      <xdr:nvGrpSpPr>
        <xdr:cNvPr id="175" name="Gruppieren 174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00000000-0008-0000-0F00-0000AF000000}"/>
            </a:ext>
          </a:extLst>
        </xdr:cNvPr>
        <xdr:cNvGrpSpPr>
          <a:grpSpLocks noChangeAspect="1"/>
        </xdr:cNvGrpSpPr>
      </xdr:nvGrpSpPr>
      <xdr:grpSpPr>
        <a:xfrm>
          <a:off x="74295" y="134494905"/>
          <a:ext cx="306000" cy="306000"/>
          <a:chOff x="9191625" y="3009900"/>
          <a:chExt cx="324000" cy="325465"/>
        </a:xfrm>
      </xdr:grpSpPr>
      <xdr:sp macro="" textlink="">
        <xdr:nvSpPr>
          <xdr:cNvPr id="176" name="Rechteck 175">
            <a:extLst>
              <a:ext uri="{FF2B5EF4-FFF2-40B4-BE49-F238E27FC236}">
                <a16:creationId xmlns:a16="http://schemas.microsoft.com/office/drawing/2014/main" id="{00000000-0008-0000-0F00-0000B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7" name="Pfeil nach links 176">
            <a:extLst>
              <a:ext uri="{FF2B5EF4-FFF2-40B4-BE49-F238E27FC236}">
                <a16:creationId xmlns:a16="http://schemas.microsoft.com/office/drawing/2014/main" id="{00000000-0008-0000-0F00-0000B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700</xdr:row>
      <xdr:rowOff>9525</xdr:rowOff>
    </xdr:from>
    <xdr:to>
      <xdr:col>1</xdr:col>
      <xdr:colOff>372675</xdr:colOff>
      <xdr:row>701</xdr:row>
      <xdr:rowOff>10725</xdr:rowOff>
    </xdr:to>
    <xdr:grpSp>
      <xdr:nvGrpSpPr>
        <xdr:cNvPr id="178" name="Gruppieren 177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00000000-0008-0000-0F00-0000B2000000}"/>
            </a:ext>
          </a:extLst>
        </xdr:cNvPr>
        <xdr:cNvGrpSpPr>
          <a:grpSpLocks noChangeAspect="1"/>
        </xdr:cNvGrpSpPr>
      </xdr:nvGrpSpPr>
      <xdr:grpSpPr>
        <a:xfrm>
          <a:off x="74295" y="136826625"/>
          <a:ext cx="306000" cy="306000"/>
          <a:chOff x="9191625" y="3009900"/>
          <a:chExt cx="324000" cy="325465"/>
        </a:xfrm>
      </xdr:grpSpPr>
      <xdr:sp macro="" textlink="">
        <xdr:nvSpPr>
          <xdr:cNvPr id="179" name="Rechteck 178">
            <a:extLst>
              <a:ext uri="{FF2B5EF4-FFF2-40B4-BE49-F238E27FC236}">
                <a16:creationId xmlns:a16="http://schemas.microsoft.com/office/drawing/2014/main" id="{00000000-0008-0000-0F00-0000B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0" name="Pfeil nach links 179">
            <a:extLst>
              <a:ext uri="{FF2B5EF4-FFF2-40B4-BE49-F238E27FC236}">
                <a16:creationId xmlns:a16="http://schemas.microsoft.com/office/drawing/2014/main" id="{00000000-0008-0000-0F00-0000B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712</xdr:row>
      <xdr:rowOff>9525</xdr:rowOff>
    </xdr:from>
    <xdr:to>
      <xdr:col>1</xdr:col>
      <xdr:colOff>372675</xdr:colOff>
      <xdr:row>713</xdr:row>
      <xdr:rowOff>10725</xdr:rowOff>
    </xdr:to>
    <xdr:grpSp>
      <xdr:nvGrpSpPr>
        <xdr:cNvPr id="181" name="Gruppieren 180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00000000-0008-0000-0F00-0000B5000000}"/>
            </a:ext>
          </a:extLst>
        </xdr:cNvPr>
        <xdr:cNvGrpSpPr>
          <a:grpSpLocks noChangeAspect="1"/>
        </xdr:cNvGrpSpPr>
      </xdr:nvGrpSpPr>
      <xdr:grpSpPr>
        <a:xfrm>
          <a:off x="74295" y="139158345"/>
          <a:ext cx="306000" cy="306000"/>
          <a:chOff x="9191625" y="3009900"/>
          <a:chExt cx="324000" cy="325465"/>
        </a:xfrm>
      </xdr:grpSpPr>
      <xdr:sp macro="" textlink="">
        <xdr:nvSpPr>
          <xdr:cNvPr id="182" name="Rechteck 181">
            <a:extLst>
              <a:ext uri="{FF2B5EF4-FFF2-40B4-BE49-F238E27FC236}">
                <a16:creationId xmlns:a16="http://schemas.microsoft.com/office/drawing/2014/main" id="{00000000-0008-0000-0F00-0000B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3" name="Pfeil nach links 182">
            <a:extLst>
              <a:ext uri="{FF2B5EF4-FFF2-40B4-BE49-F238E27FC236}">
                <a16:creationId xmlns:a16="http://schemas.microsoft.com/office/drawing/2014/main" id="{00000000-0008-0000-0F00-0000B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724</xdr:row>
      <xdr:rowOff>9525</xdr:rowOff>
    </xdr:from>
    <xdr:to>
      <xdr:col>1</xdr:col>
      <xdr:colOff>372675</xdr:colOff>
      <xdr:row>725</xdr:row>
      <xdr:rowOff>10725</xdr:rowOff>
    </xdr:to>
    <xdr:grpSp>
      <xdr:nvGrpSpPr>
        <xdr:cNvPr id="184" name="Gruppieren 183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00000000-0008-0000-0F00-0000B8000000}"/>
            </a:ext>
          </a:extLst>
        </xdr:cNvPr>
        <xdr:cNvGrpSpPr>
          <a:grpSpLocks noChangeAspect="1"/>
        </xdr:cNvGrpSpPr>
      </xdr:nvGrpSpPr>
      <xdr:grpSpPr>
        <a:xfrm>
          <a:off x="74295" y="141490065"/>
          <a:ext cx="306000" cy="306000"/>
          <a:chOff x="9191625" y="3009900"/>
          <a:chExt cx="324000" cy="325465"/>
        </a:xfrm>
      </xdr:grpSpPr>
      <xdr:sp macro="" textlink="">
        <xdr:nvSpPr>
          <xdr:cNvPr id="185" name="Rechteck 184">
            <a:extLst>
              <a:ext uri="{FF2B5EF4-FFF2-40B4-BE49-F238E27FC236}">
                <a16:creationId xmlns:a16="http://schemas.microsoft.com/office/drawing/2014/main" id="{00000000-0008-0000-0F00-0000B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6" name="Pfeil nach links 185">
            <a:extLst>
              <a:ext uri="{FF2B5EF4-FFF2-40B4-BE49-F238E27FC236}">
                <a16:creationId xmlns:a16="http://schemas.microsoft.com/office/drawing/2014/main" id="{00000000-0008-0000-0F00-0000B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736</xdr:row>
      <xdr:rowOff>9525</xdr:rowOff>
    </xdr:from>
    <xdr:to>
      <xdr:col>1</xdr:col>
      <xdr:colOff>372675</xdr:colOff>
      <xdr:row>737</xdr:row>
      <xdr:rowOff>10725</xdr:rowOff>
    </xdr:to>
    <xdr:grpSp>
      <xdr:nvGrpSpPr>
        <xdr:cNvPr id="187" name="Gruppieren 186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00000000-0008-0000-0F00-0000BB000000}"/>
            </a:ext>
          </a:extLst>
        </xdr:cNvPr>
        <xdr:cNvGrpSpPr>
          <a:grpSpLocks noChangeAspect="1"/>
        </xdr:cNvGrpSpPr>
      </xdr:nvGrpSpPr>
      <xdr:grpSpPr>
        <a:xfrm>
          <a:off x="74295" y="143821785"/>
          <a:ext cx="306000" cy="306000"/>
          <a:chOff x="9191625" y="3009900"/>
          <a:chExt cx="324000" cy="325465"/>
        </a:xfrm>
      </xdr:grpSpPr>
      <xdr:sp macro="" textlink="">
        <xdr:nvSpPr>
          <xdr:cNvPr id="188" name="Rechteck 187">
            <a:extLst>
              <a:ext uri="{FF2B5EF4-FFF2-40B4-BE49-F238E27FC236}">
                <a16:creationId xmlns:a16="http://schemas.microsoft.com/office/drawing/2014/main" id="{00000000-0008-0000-0F00-0000B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9" name="Pfeil nach links 188">
            <a:extLst>
              <a:ext uri="{FF2B5EF4-FFF2-40B4-BE49-F238E27FC236}">
                <a16:creationId xmlns:a16="http://schemas.microsoft.com/office/drawing/2014/main" id="{00000000-0008-0000-0F00-0000B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748</xdr:row>
      <xdr:rowOff>9525</xdr:rowOff>
    </xdr:from>
    <xdr:to>
      <xdr:col>1</xdr:col>
      <xdr:colOff>372675</xdr:colOff>
      <xdr:row>749</xdr:row>
      <xdr:rowOff>10725</xdr:rowOff>
    </xdr:to>
    <xdr:grpSp>
      <xdr:nvGrpSpPr>
        <xdr:cNvPr id="190" name="Gruppieren 189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00000000-0008-0000-0F00-0000BE000000}"/>
            </a:ext>
          </a:extLst>
        </xdr:cNvPr>
        <xdr:cNvGrpSpPr>
          <a:grpSpLocks noChangeAspect="1"/>
        </xdr:cNvGrpSpPr>
      </xdr:nvGrpSpPr>
      <xdr:grpSpPr>
        <a:xfrm>
          <a:off x="74295" y="146153505"/>
          <a:ext cx="306000" cy="306000"/>
          <a:chOff x="9191625" y="3009900"/>
          <a:chExt cx="324000" cy="325465"/>
        </a:xfrm>
      </xdr:grpSpPr>
      <xdr:sp macro="" textlink="">
        <xdr:nvSpPr>
          <xdr:cNvPr id="191" name="Rechteck 190">
            <a:extLst>
              <a:ext uri="{FF2B5EF4-FFF2-40B4-BE49-F238E27FC236}">
                <a16:creationId xmlns:a16="http://schemas.microsoft.com/office/drawing/2014/main" id="{00000000-0008-0000-0F00-0000B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2" name="Pfeil nach links 191">
            <a:extLst>
              <a:ext uri="{FF2B5EF4-FFF2-40B4-BE49-F238E27FC236}">
                <a16:creationId xmlns:a16="http://schemas.microsoft.com/office/drawing/2014/main" id="{00000000-0008-0000-0F00-0000C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760</xdr:row>
      <xdr:rowOff>9525</xdr:rowOff>
    </xdr:from>
    <xdr:to>
      <xdr:col>1</xdr:col>
      <xdr:colOff>372675</xdr:colOff>
      <xdr:row>761</xdr:row>
      <xdr:rowOff>10725</xdr:rowOff>
    </xdr:to>
    <xdr:grpSp>
      <xdr:nvGrpSpPr>
        <xdr:cNvPr id="193" name="Gruppieren 192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00000000-0008-0000-0F00-0000C1000000}"/>
            </a:ext>
          </a:extLst>
        </xdr:cNvPr>
        <xdr:cNvGrpSpPr>
          <a:grpSpLocks noChangeAspect="1"/>
        </xdr:cNvGrpSpPr>
      </xdr:nvGrpSpPr>
      <xdr:grpSpPr>
        <a:xfrm>
          <a:off x="74295" y="148485225"/>
          <a:ext cx="306000" cy="306000"/>
          <a:chOff x="9191625" y="3009900"/>
          <a:chExt cx="324000" cy="325465"/>
        </a:xfrm>
      </xdr:grpSpPr>
      <xdr:sp macro="" textlink="">
        <xdr:nvSpPr>
          <xdr:cNvPr id="194" name="Rechteck 193">
            <a:extLst>
              <a:ext uri="{FF2B5EF4-FFF2-40B4-BE49-F238E27FC236}">
                <a16:creationId xmlns:a16="http://schemas.microsoft.com/office/drawing/2014/main" id="{00000000-0008-0000-0F00-0000C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5" name="Pfeil nach links 194">
            <a:extLst>
              <a:ext uri="{FF2B5EF4-FFF2-40B4-BE49-F238E27FC236}">
                <a16:creationId xmlns:a16="http://schemas.microsoft.com/office/drawing/2014/main" id="{00000000-0008-0000-0F00-0000C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772</xdr:row>
      <xdr:rowOff>9525</xdr:rowOff>
    </xdr:from>
    <xdr:to>
      <xdr:col>1</xdr:col>
      <xdr:colOff>372675</xdr:colOff>
      <xdr:row>773</xdr:row>
      <xdr:rowOff>10725</xdr:rowOff>
    </xdr:to>
    <xdr:grpSp>
      <xdr:nvGrpSpPr>
        <xdr:cNvPr id="196" name="Gruppieren 195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00000000-0008-0000-0F00-0000C4000000}"/>
            </a:ext>
          </a:extLst>
        </xdr:cNvPr>
        <xdr:cNvGrpSpPr>
          <a:grpSpLocks noChangeAspect="1"/>
        </xdr:cNvGrpSpPr>
      </xdr:nvGrpSpPr>
      <xdr:grpSpPr>
        <a:xfrm>
          <a:off x="74295" y="150816945"/>
          <a:ext cx="306000" cy="306000"/>
          <a:chOff x="9191625" y="3009900"/>
          <a:chExt cx="324000" cy="325465"/>
        </a:xfrm>
      </xdr:grpSpPr>
      <xdr:sp macro="" textlink="">
        <xdr:nvSpPr>
          <xdr:cNvPr id="197" name="Rechteck 196">
            <a:extLst>
              <a:ext uri="{FF2B5EF4-FFF2-40B4-BE49-F238E27FC236}">
                <a16:creationId xmlns:a16="http://schemas.microsoft.com/office/drawing/2014/main" id="{00000000-0008-0000-0F00-0000C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8" name="Pfeil nach links 197">
            <a:extLst>
              <a:ext uri="{FF2B5EF4-FFF2-40B4-BE49-F238E27FC236}">
                <a16:creationId xmlns:a16="http://schemas.microsoft.com/office/drawing/2014/main" id="{00000000-0008-0000-0F00-0000C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784</xdr:row>
      <xdr:rowOff>9525</xdr:rowOff>
    </xdr:from>
    <xdr:to>
      <xdr:col>1</xdr:col>
      <xdr:colOff>372675</xdr:colOff>
      <xdr:row>785</xdr:row>
      <xdr:rowOff>10725</xdr:rowOff>
    </xdr:to>
    <xdr:grpSp>
      <xdr:nvGrpSpPr>
        <xdr:cNvPr id="199" name="Gruppieren 198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00000000-0008-0000-0F00-0000C7000000}"/>
            </a:ext>
          </a:extLst>
        </xdr:cNvPr>
        <xdr:cNvGrpSpPr>
          <a:grpSpLocks noChangeAspect="1"/>
        </xdr:cNvGrpSpPr>
      </xdr:nvGrpSpPr>
      <xdr:grpSpPr>
        <a:xfrm>
          <a:off x="74295" y="153148665"/>
          <a:ext cx="306000" cy="306000"/>
          <a:chOff x="9191625" y="3009900"/>
          <a:chExt cx="324000" cy="325465"/>
        </a:xfrm>
      </xdr:grpSpPr>
      <xdr:sp macro="" textlink="">
        <xdr:nvSpPr>
          <xdr:cNvPr id="200" name="Rechteck 199">
            <a:extLst>
              <a:ext uri="{FF2B5EF4-FFF2-40B4-BE49-F238E27FC236}">
                <a16:creationId xmlns:a16="http://schemas.microsoft.com/office/drawing/2014/main" id="{00000000-0008-0000-0F00-0000C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1" name="Pfeil nach links 200">
            <a:extLst>
              <a:ext uri="{FF2B5EF4-FFF2-40B4-BE49-F238E27FC236}">
                <a16:creationId xmlns:a16="http://schemas.microsoft.com/office/drawing/2014/main" id="{00000000-0008-0000-0F00-0000C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796</xdr:row>
      <xdr:rowOff>9525</xdr:rowOff>
    </xdr:from>
    <xdr:to>
      <xdr:col>1</xdr:col>
      <xdr:colOff>372675</xdr:colOff>
      <xdr:row>797</xdr:row>
      <xdr:rowOff>10725</xdr:rowOff>
    </xdr:to>
    <xdr:grpSp>
      <xdr:nvGrpSpPr>
        <xdr:cNvPr id="202" name="Gruppieren 201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00000000-0008-0000-0F00-0000CA000000}"/>
            </a:ext>
          </a:extLst>
        </xdr:cNvPr>
        <xdr:cNvGrpSpPr>
          <a:grpSpLocks noChangeAspect="1"/>
        </xdr:cNvGrpSpPr>
      </xdr:nvGrpSpPr>
      <xdr:grpSpPr>
        <a:xfrm>
          <a:off x="74295" y="155480385"/>
          <a:ext cx="306000" cy="306000"/>
          <a:chOff x="9191625" y="3009900"/>
          <a:chExt cx="324000" cy="325465"/>
        </a:xfrm>
      </xdr:grpSpPr>
      <xdr:sp macro="" textlink="">
        <xdr:nvSpPr>
          <xdr:cNvPr id="203" name="Rechteck 202">
            <a:extLst>
              <a:ext uri="{FF2B5EF4-FFF2-40B4-BE49-F238E27FC236}">
                <a16:creationId xmlns:a16="http://schemas.microsoft.com/office/drawing/2014/main" id="{00000000-0008-0000-0F00-0000C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4" name="Pfeil nach links 203">
            <a:extLst>
              <a:ext uri="{FF2B5EF4-FFF2-40B4-BE49-F238E27FC236}">
                <a16:creationId xmlns:a16="http://schemas.microsoft.com/office/drawing/2014/main" id="{00000000-0008-0000-0F00-0000C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808</xdr:row>
      <xdr:rowOff>9525</xdr:rowOff>
    </xdr:from>
    <xdr:to>
      <xdr:col>1</xdr:col>
      <xdr:colOff>372675</xdr:colOff>
      <xdr:row>809</xdr:row>
      <xdr:rowOff>10725</xdr:rowOff>
    </xdr:to>
    <xdr:grpSp>
      <xdr:nvGrpSpPr>
        <xdr:cNvPr id="205" name="Gruppieren 204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00000000-0008-0000-0F00-0000CD000000}"/>
            </a:ext>
          </a:extLst>
        </xdr:cNvPr>
        <xdr:cNvGrpSpPr>
          <a:grpSpLocks noChangeAspect="1"/>
        </xdr:cNvGrpSpPr>
      </xdr:nvGrpSpPr>
      <xdr:grpSpPr>
        <a:xfrm>
          <a:off x="74295" y="157812105"/>
          <a:ext cx="306000" cy="306000"/>
          <a:chOff x="9191625" y="3009900"/>
          <a:chExt cx="324000" cy="325465"/>
        </a:xfrm>
      </xdr:grpSpPr>
      <xdr:sp macro="" textlink="">
        <xdr:nvSpPr>
          <xdr:cNvPr id="206" name="Rechteck 205">
            <a:extLst>
              <a:ext uri="{FF2B5EF4-FFF2-40B4-BE49-F238E27FC236}">
                <a16:creationId xmlns:a16="http://schemas.microsoft.com/office/drawing/2014/main" id="{00000000-0008-0000-0F00-0000C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7" name="Pfeil nach links 206">
            <a:extLst>
              <a:ext uri="{FF2B5EF4-FFF2-40B4-BE49-F238E27FC236}">
                <a16:creationId xmlns:a16="http://schemas.microsoft.com/office/drawing/2014/main" id="{00000000-0008-0000-0F00-0000C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820</xdr:row>
      <xdr:rowOff>9525</xdr:rowOff>
    </xdr:from>
    <xdr:to>
      <xdr:col>1</xdr:col>
      <xdr:colOff>372675</xdr:colOff>
      <xdr:row>821</xdr:row>
      <xdr:rowOff>10725</xdr:rowOff>
    </xdr:to>
    <xdr:grpSp>
      <xdr:nvGrpSpPr>
        <xdr:cNvPr id="208" name="Gruppieren 207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00000000-0008-0000-0F00-0000D0000000}"/>
            </a:ext>
          </a:extLst>
        </xdr:cNvPr>
        <xdr:cNvGrpSpPr>
          <a:grpSpLocks noChangeAspect="1"/>
        </xdr:cNvGrpSpPr>
      </xdr:nvGrpSpPr>
      <xdr:grpSpPr>
        <a:xfrm>
          <a:off x="74295" y="160143825"/>
          <a:ext cx="306000" cy="306000"/>
          <a:chOff x="9191625" y="3009900"/>
          <a:chExt cx="324000" cy="325465"/>
        </a:xfrm>
      </xdr:grpSpPr>
      <xdr:sp macro="" textlink="">
        <xdr:nvSpPr>
          <xdr:cNvPr id="209" name="Rechteck 208">
            <a:extLst>
              <a:ext uri="{FF2B5EF4-FFF2-40B4-BE49-F238E27FC236}">
                <a16:creationId xmlns:a16="http://schemas.microsoft.com/office/drawing/2014/main" id="{00000000-0008-0000-0F00-0000D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0" name="Pfeil nach links 209">
            <a:extLst>
              <a:ext uri="{FF2B5EF4-FFF2-40B4-BE49-F238E27FC236}">
                <a16:creationId xmlns:a16="http://schemas.microsoft.com/office/drawing/2014/main" id="{00000000-0008-0000-0F00-0000D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832</xdr:row>
      <xdr:rowOff>9525</xdr:rowOff>
    </xdr:from>
    <xdr:to>
      <xdr:col>1</xdr:col>
      <xdr:colOff>372675</xdr:colOff>
      <xdr:row>833</xdr:row>
      <xdr:rowOff>10725</xdr:rowOff>
    </xdr:to>
    <xdr:grpSp>
      <xdr:nvGrpSpPr>
        <xdr:cNvPr id="211" name="Gruppieren 210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00000000-0008-0000-0F00-0000D3000000}"/>
            </a:ext>
          </a:extLst>
        </xdr:cNvPr>
        <xdr:cNvGrpSpPr>
          <a:grpSpLocks noChangeAspect="1"/>
        </xdr:cNvGrpSpPr>
      </xdr:nvGrpSpPr>
      <xdr:grpSpPr>
        <a:xfrm>
          <a:off x="74295" y="162475545"/>
          <a:ext cx="306000" cy="306000"/>
          <a:chOff x="9191625" y="3009900"/>
          <a:chExt cx="324000" cy="325465"/>
        </a:xfrm>
      </xdr:grpSpPr>
      <xdr:sp macro="" textlink="">
        <xdr:nvSpPr>
          <xdr:cNvPr id="212" name="Rechteck 211">
            <a:extLst>
              <a:ext uri="{FF2B5EF4-FFF2-40B4-BE49-F238E27FC236}">
                <a16:creationId xmlns:a16="http://schemas.microsoft.com/office/drawing/2014/main" id="{00000000-0008-0000-0F00-0000D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3" name="Pfeil nach links 212">
            <a:extLst>
              <a:ext uri="{FF2B5EF4-FFF2-40B4-BE49-F238E27FC236}">
                <a16:creationId xmlns:a16="http://schemas.microsoft.com/office/drawing/2014/main" id="{00000000-0008-0000-0F00-0000D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844</xdr:row>
      <xdr:rowOff>9525</xdr:rowOff>
    </xdr:from>
    <xdr:to>
      <xdr:col>1</xdr:col>
      <xdr:colOff>372675</xdr:colOff>
      <xdr:row>845</xdr:row>
      <xdr:rowOff>10725</xdr:rowOff>
    </xdr:to>
    <xdr:grpSp>
      <xdr:nvGrpSpPr>
        <xdr:cNvPr id="214" name="Gruppieren 213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00000000-0008-0000-0F00-0000D6000000}"/>
            </a:ext>
          </a:extLst>
        </xdr:cNvPr>
        <xdr:cNvGrpSpPr>
          <a:grpSpLocks noChangeAspect="1"/>
        </xdr:cNvGrpSpPr>
      </xdr:nvGrpSpPr>
      <xdr:grpSpPr>
        <a:xfrm>
          <a:off x="74295" y="164807265"/>
          <a:ext cx="306000" cy="306000"/>
          <a:chOff x="9191625" y="3009900"/>
          <a:chExt cx="324000" cy="325465"/>
        </a:xfrm>
      </xdr:grpSpPr>
      <xdr:sp macro="" textlink="">
        <xdr:nvSpPr>
          <xdr:cNvPr id="215" name="Rechteck 214">
            <a:extLst>
              <a:ext uri="{FF2B5EF4-FFF2-40B4-BE49-F238E27FC236}">
                <a16:creationId xmlns:a16="http://schemas.microsoft.com/office/drawing/2014/main" id="{00000000-0008-0000-0F00-0000D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6" name="Pfeil nach links 215">
            <a:extLst>
              <a:ext uri="{FF2B5EF4-FFF2-40B4-BE49-F238E27FC236}">
                <a16:creationId xmlns:a16="http://schemas.microsoft.com/office/drawing/2014/main" id="{00000000-0008-0000-0F00-0000D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856</xdr:row>
      <xdr:rowOff>9525</xdr:rowOff>
    </xdr:from>
    <xdr:to>
      <xdr:col>1</xdr:col>
      <xdr:colOff>372675</xdr:colOff>
      <xdr:row>857</xdr:row>
      <xdr:rowOff>10725</xdr:rowOff>
    </xdr:to>
    <xdr:grpSp>
      <xdr:nvGrpSpPr>
        <xdr:cNvPr id="217" name="Gruppieren 216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00000000-0008-0000-0F00-0000D9000000}"/>
            </a:ext>
          </a:extLst>
        </xdr:cNvPr>
        <xdr:cNvGrpSpPr>
          <a:grpSpLocks noChangeAspect="1"/>
        </xdr:cNvGrpSpPr>
      </xdr:nvGrpSpPr>
      <xdr:grpSpPr>
        <a:xfrm>
          <a:off x="74295" y="167138985"/>
          <a:ext cx="306000" cy="306000"/>
          <a:chOff x="9191625" y="3009900"/>
          <a:chExt cx="324000" cy="325465"/>
        </a:xfrm>
      </xdr:grpSpPr>
      <xdr:sp macro="" textlink="">
        <xdr:nvSpPr>
          <xdr:cNvPr id="218" name="Rechteck 217">
            <a:extLst>
              <a:ext uri="{FF2B5EF4-FFF2-40B4-BE49-F238E27FC236}">
                <a16:creationId xmlns:a16="http://schemas.microsoft.com/office/drawing/2014/main" id="{00000000-0008-0000-0F00-0000D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9" name="Pfeil nach links 218">
            <a:extLst>
              <a:ext uri="{FF2B5EF4-FFF2-40B4-BE49-F238E27FC236}">
                <a16:creationId xmlns:a16="http://schemas.microsoft.com/office/drawing/2014/main" id="{00000000-0008-0000-0F00-0000D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868</xdr:row>
      <xdr:rowOff>9525</xdr:rowOff>
    </xdr:from>
    <xdr:to>
      <xdr:col>1</xdr:col>
      <xdr:colOff>372675</xdr:colOff>
      <xdr:row>869</xdr:row>
      <xdr:rowOff>10725</xdr:rowOff>
    </xdr:to>
    <xdr:grpSp>
      <xdr:nvGrpSpPr>
        <xdr:cNvPr id="220" name="Gruppieren 219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00000000-0008-0000-0F00-0000DC000000}"/>
            </a:ext>
          </a:extLst>
        </xdr:cNvPr>
        <xdr:cNvGrpSpPr>
          <a:grpSpLocks noChangeAspect="1"/>
        </xdr:cNvGrpSpPr>
      </xdr:nvGrpSpPr>
      <xdr:grpSpPr>
        <a:xfrm>
          <a:off x="74295" y="169470705"/>
          <a:ext cx="306000" cy="306000"/>
          <a:chOff x="9191625" y="3009900"/>
          <a:chExt cx="324000" cy="325465"/>
        </a:xfrm>
      </xdr:grpSpPr>
      <xdr:sp macro="" textlink="">
        <xdr:nvSpPr>
          <xdr:cNvPr id="221" name="Rechteck 220">
            <a:extLst>
              <a:ext uri="{FF2B5EF4-FFF2-40B4-BE49-F238E27FC236}">
                <a16:creationId xmlns:a16="http://schemas.microsoft.com/office/drawing/2014/main" id="{00000000-0008-0000-0F00-0000D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2" name="Pfeil nach links 221">
            <a:extLst>
              <a:ext uri="{FF2B5EF4-FFF2-40B4-BE49-F238E27FC236}">
                <a16:creationId xmlns:a16="http://schemas.microsoft.com/office/drawing/2014/main" id="{00000000-0008-0000-0F00-0000D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880</xdr:row>
      <xdr:rowOff>9525</xdr:rowOff>
    </xdr:from>
    <xdr:to>
      <xdr:col>1</xdr:col>
      <xdr:colOff>372675</xdr:colOff>
      <xdr:row>881</xdr:row>
      <xdr:rowOff>10725</xdr:rowOff>
    </xdr:to>
    <xdr:grpSp>
      <xdr:nvGrpSpPr>
        <xdr:cNvPr id="223" name="Gruppieren 222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00000000-0008-0000-0F00-0000DF000000}"/>
            </a:ext>
          </a:extLst>
        </xdr:cNvPr>
        <xdr:cNvGrpSpPr>
          <a:grpSpLocks noChangeAspect="1"/>
        </xdr:cNvGrpSpPr>
      </xdr:nvGrpSpPr>
      <xdr:grpSpPr>
        <a:xfrm>
          <a:off x="74295" y="171802425"/>
          <a:ext cx="306000" cy="306000"/>
          <a:chOff x="9191625" y="3009900"/>
          <a:chExt cx="324000" cy="325465"/>
        </a:xfrm>
      </xdr:grpSpPr>
      <xdr:sp macro="" textlink="">
        <xdr:nvSpPr>
          <xdr:cNvPr id="224" name="Rechteck 223">
            <a:extLst>
              <a:ext uri="{FF2B5EF4-FFF2-40B4-BE49-F238E27FC236}">
                <a16:creationId xmlns:a16="http://schemas.microsoft.com/office/drawing/2014/main" id="{00000000-0008-0000-0F00-0000E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5" name="Pfeil nach links 224">
            <a:extLst>
              <a:ext uri="{FF2B5EF4-FFF2-40B4-BE49-F238E27FC236}">
                <a16:creationId xmlns:a16="http://schemas.microsoft.com/office/drawing/2014/main" id="{00000000-0008-0000-0F00-0000E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892</xdr:row>
      <xdr:rowOff>9525</xdr:rowOff>
    </xdr:from>
    <xdr:to>
      <xdr:col>1</xdr:col>
      <xdr:colOff>372675</xdr:colOff>
      <xdr:row>893</xdr:row>
      <xdr:rowOff>10725</xdr:rowOff>
    </xdr:to>
    <xdr:grpSp>
      <xdr:nvGrpSpPr>
        <xdr:cNvPr id="226" name="Gruppieren 225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00000000-0008-0000-0F00-0000E2000000}"/>
            </a:ext>
          </a:extLst>
        </xdr:cNvPr>
        <xdr:cNvGrpSpPr>
          <a:grpSpLocks noChangeAspect="1"/>
        </xdr:cNvGrpSpPr>
      </xdr:nvGrpSpPr>
      <xdr:grpSpPr>
        <a:xfrm>
          <a:off x="74295" y="174134145"/>
          <a:ext cx="306000" cy="306000"/>
          <a:chOff x="9191625" y="3009900"/>
          <a:chExt cx="324000" cy="325465"/>
        </a:xfrm>
      </xdr:grpSpPr>
      <xdr:sp macro="" textlink="">
        <xdr:nvSpPr>
          <xdr:cNvPr id="227" name="Rechteck 226">
            <a:extLst>
              <a:ext uri="{FF2B5EF4-FFF2-40B4-BE49-F238E27FC236}">
                <a16:creationId xmlns:a16="http://schemas.microsoft.com/office/drawing/2014/main" id="{00000000-0008-0000-0F00-0000E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8" name="Pfeil nach links 227">
            <a:extLst>
              <a:ext uri="{FF2B5EF4-FFF2-40B4-BE49-F238E27FC236}">
                <a16:creationId xmlns:a16="http://schemas.microsoft.com/office/drawing/2014/main" id="{00000000-0008-0000-0F00-0000E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904</xdr:row>
      <xdr:rowOff>9525</xdr:rowOff>
    </xdr:from>
    <xdr:to>
      <xdr:col>1</xdr:col>
      <xdr:colOff>372675</xdr:colOff>
      <xdr:row>905</xdr:row>
      <xdr:rowOff>10725</xdr:rowOff>
    </xdr:to>
    <xdr:grpSp>
      <xdr:nvGrpSpPr>
        <xdr:cNvPr id="229" name="Gruppieren 228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00000000-0008-0000-0F00-0000E5000000}"/>
            </a:ext>
          </a:extLst>
        </xdr:cNvPr>
        <xdr:cNvGrpSpPr>
          <a:grpSpLocks noChangeAspect="1"/>
        </xdr:cNvGrpSpPr>
      </xdr:nvGrpSpPr>
      <xdr:grpSpPr>
        <a:xfrm>
          <a:off x="74295" y="176465865"/>
          <a:ext cx="306000" cy="306000"/>
          <a:chOff x="9191625" y="3009900"/>
          <a:chExt cx="324000" cy="325465"/>
        </a:xfrm>
      </xdr:grpSpPr>
      <xdr:sp macro="" textlink="">
        <xdr:nvSpPr>
          <xdr:cNvPr id="230" name="Rechteck 229">
            <a:extLst>
              <a:ext uri="{FF2B5EF4-FFF2-40B4-BE49-F238E27FC236}">
                <a16:creationId xmlns:a16="http://schemas.microsoft.com/office/drawing/2014/main" id="{00000000-0008-0000-0F00-0000E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1" name="Pfeil nach links 230">
            <a:extLst>
              <a:ext uri="{FF2B5EF4-FFF2-40B4-BE49-F238E27FC236}">
                <a16:creationId xmlns:a16="http://schemas.microsoft.com/office/drawing/2014/main" id="{00000000-0008-0000-0F00-0000E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916</xdr:row>
      <xdr:rowOff>9525</xdr:rowOff>
    </xdr:from>
    <xdr:to>
      <xdr:col>1</xdr:col>
      <xdr:colOff>372675</xdr:colOff>
      <xdr:row>917</xdr:row>
      <xdr:rowOff>10725</xdr:rowOff>
    </xdr:to>
    <xdr:grpSp>
      <xdr:nvGrpSpPr>
        <xdr:cNvPr id="232" name="Gruppieren 231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00000000-0008-0000-0F00-0000E8000000}"/>
            </a:ext>
          </a:extLst>
        </xdr:cNvPr>
        <xdr:cNvGrpSpPr>
          <a:grpSpLocks noChangeAspect="1"/>
        </xdr:cNvGrpSpPr>
      </xdr:nvGrpSpPr>
      <xdr:grpSpPr>
        <a:xfrm>
          <a:off x="74295" y="178797585"/>
          <a:ext cx="306000" cy="306000"/>
          <a:chOff x="9191625" y="3009900"/>
          <a:chExt cx="324000" cy="325465"/>
        </a:xfrm>
      </xdr:grpSpPr>
      <xdr:sp macro="" textlink="">
        <xdr:nvSpPr>
          <xdr:cNvPr id="233" name="Rechteck 232">
            <a:extLst>
              <a:ext uri="{FF2B5EF4-FFF2-40B4-BE49-F238E27FC236}">
                <a16:creationId xmlns:a16="http://schemas.microsoft.com/office/drawing/2014/main" id="{00000000-0008-0000-0F00-0000E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4" name="Pfeil nach links 233">
            <a:extLst>
              <a:ext uri="{FF2B5EF4-FFF2-40B4-BE49-F238E27FC236}">
                <a16:creationId xmlns:a16="http://schemas.microsoft.com/office/drawing/2014/main" id="{00000000-0008-0000-0F00-0000E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928</xdr:row>
      <xdr:rowOff>9525</xdr:rowOff>
    </xdr:from>
    <xdr:to>
      <xdr:col>1</xdr:col>
      <xdr:colOff>372675</xdr:colOff>
      <xdr:row>929</xdr:row>
      <xdr:rowOff>10725</xdr:rowOff>
    </xdr:to>
    <xdr:grpSp>
      <xdr:nvGrpSpPr>
        <xdr:cNvPr id="235" name="Gruppieren 234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00000000-0008-0000-0F00-0000EB000000}"/>
            </a:ext>
          </a:extLst>
        </xdr:cNvPr>
        <xdr:cNvGrpSpPr>
          <a:grpSpLocks noChangeAspect="1"/>
        </xdr:cNvGrpSpPr>
      </xdr:nvGrpSpPr>
      <xdr:grpSpPr>
        <a:xfrm>
          <a:off x="74295" y="181129305"/>
          <a:ext cx="306000" cy="306000"/>
          <a:chOff x="9191625" y="3009900"/>
          <a:chExt cx="324000" cy="325465"/>
        </a:xfrm>
      </xdr:grpSpPr>
      <xdr:sp macro="" textlink="">
        <xdr:nvSpPr>
          <xdr:cNvPr id="236" name="Rechteck 235">
            <a:extLst>
              <a:ext uri="{FF2B5EF4-FFF2-40B4-BE49-F238E27FC236}">
                <a16:creationId xmlns:a16="http://schemas.microsoft.com/office/drawing/2014/main" id="{00000000-0008-0000-0F00-0000E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7" name="Pfeil nach links 236">
            <a:extLst>
              <a:ext uri="{FF2B5EF4-FFF2-40B4-BE49-F238E27FC236}">
                <a16:creationId xmlns:a16="http://schemas.microsoft.com/office/drawing/2014/main" id="{00000000-0008-0000-0F00-0000E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940</xdr:row>
      <xdr:rowOff>9525</xdr:rowOff>
    </xdr:from>
    <xdr:to>
      <xdr:col>1</xdr:col>
      <xdr:colOff>372675</xdr:colOff>
      <xdr:row>941</xdr:row>
      <xdr:rowOff>10725</xdr:rowOff>
    </xdr:to>
    <xdr:grpSp>
      <xdr:nvGrpSpPr>
        <xdr:cNvPr id="238" name="Gruppieren 237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id="{00000000-0008-0000-0F00-0000EE000000}"/>
            </a:ext>
          </a:extLst>
        </xdr:cNvPr>
        <xdr:cNvGrpSpPr>
          <a:grpSpLocks noChangeAspect="1"/>
        </xdr:cNvGrpSpPr>
      </xdr:nvGrpSpPr>
      <xdr:grpSpPr>
        <a:xfrm>
          <a:off x="74295" y="183461025"/>
          <a:ext cx="306000" cy="306000"/>
          <a:chOff x="9191625" y="3009900"/>
          <a:chExt cx="324000" cy="325465"/>
        </a:xfrm>
      </xdr:grpSpPr>
      <xdr:sp macro="" textlink="">
        <xdr:nvSpPr>
          <xdr:cNvPr id="239" name="Rechteck 238">
            <a:extLst>
              <a:ext uri="{FF2B5EF4-FFF2-40B4-BE49-F238E27FC236}">
                <a16:creationId xmlns:a16="http://schemas.microsoft.com/office/drawing/2014/main" id="{00000000-0008-0000-0F00-0000E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0" name="Pfeil nach links 239">
            <a:extLst>
              <a:ext uri="{FF2B5EF4-FFF2-40B4-BE49-F238E27FC236}">
                <a16:creationId xmlns:a16="http://schemas.microsoft.com/office/drawing/2014/main" id="{00000000-0008-0000-0F00-0000F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952</xdr:row>
      <xdr:rowOff>9525</xdr:rowOff>
    </xdr:from>
    <xdr:to>
      <xdr:col>1</xdr:col>
      <xdr:colOff>372675</xdr:colOff>
      <xdr:row>953</xdr:row>
      <xdr:rowOff>10725</xdr:rowOff>
    </xdr:to>
    <xdr:grpSp>
      <xdr:nvGrpSpPr>
        <xdr:cNvPr id="241" name="Gruppieren 240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00000000-0008-0000-0F00-0000F1000000}"/>
            </a:ext>
          </a:extLst>
        </xdr:cNvPr>
        <xdr:cNvGrpSpPr>
          <a:grpSpLocks noChangeAspect="1"/>
        </xdr:cNvGrpSpPr>
      </xdr:nvGrpSpPr>
      <xdr:grpSpPr>
        <a:xfrm>
          <a:off x="74295" y="185792745"/>
          <a:ext cx="306000" cy="306000"/>
          <a:chOff x="9191625" y="3009900"/>
          <a:chExt cx="324000" cy="325465"/>
        </a:xfrm>
      </xdr:grpSpPr>
      <xdr:sp macro="" textlink="">
        <xdr:nvSpPr>
          <xdr:cNvPr id="242" name="Rechteck 241">
            <a:extLst>
              <a:ext uri="{FF2B5EF4-FFF2-40B4-BE49-F238E27FC236}">
                <a16:creationId xmlns:a16="http://schemas.microsoft.com/office/drawing/2014/main" id="{00000000-0008-0000-0F00-0000F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3" name="Pfeil nach links 242">
            <a:extLst>
              <a:ext uri="{FF2B5EF4-FFF2-40B4-BE49-F238E27FC236}">
                <a16:creationId xmlns:a16="http://schemas.microsoft.com/office/drawing/2014/main" id="{00000000-0008-0000-0F00-0000F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484</xdr:row>
      <xdr:rowOff>0</xdr:rowOff>
    </xdr:from>
    <xdr:to>
      <xdr:col>1</xdr:col>
      <xdr:colOff>372675</xdr:colOff>
      <xdr:row>485</xdr:row>
      <xdr:rowOff>1200</xdr:rowOff>
    </xdr:to>
    <xdr:grpSp>
      <xdr:nvGrpSpPr>
        <xdr:cNvPr id="244" name="Gruppieren 243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id="{00000000-0008-0000-0F00-0000F4000000}"/>
            </a:ext>
          </a:extLst>
        </xdr:cNvPr>
        <xdr:cNvGrpSpPr>
          <a:grpSpLocks noChangeAspect="1"/>
        </xdr:cNvGrpSpPr>
      </xdr:nvGrpSpPr>
      <xdr:grpSpPr>
        <a:xfrm>
          <a:off x="74295" y="94846140"/>
          <a:ext cx="306000" cy="306000"/>
          <a:chOff x="9191625" y="3009900"/>
          <a:chExt cx="324000" cy="325465"/>
        </a:xfrm>
      </xdr:grpSpPr>
      <xdr:sp macro="" textlink="">
        <xdr:nvSpPr>
          <xdr:cNvPr id="245" name="Rechteck 244">
            <a:extLst>
              <a:ext uri="{FF2B5EF4-FFF2-40B4-BE49-F238E27FC236}">
                <a16:creationId xmlns:a16="http://schemas.microsoft.com/office/drawing/2014/main" id="{00000000-0008-0000-0F00-0000F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6" name="Pfeil nach links 245">
            <a:extLst>
              <a:ext uri="{FF2B5EF4-FFF2-40B4-BE49-F238E27FC236}">
                <a16:creationId xmlns:a16="http://schemas.microsoft.com/office/drawing/2014/main" id="{00000000-0008-0000-0F00-0000F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2</xdr:col>
      <xdr:colOff>228600</xdr:colOff>
      <xdr:row>9</xdr:row>
      <xdr:rowOff>161925</xdr:rowOff>
    </xdr:from>
    <xdr:ext cx="2689575" cy="4508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7" name="Textfeld 246">
              <a:extLst>
                <a:ext uri="{FF2B5EF4-FFF2-40B4-BE49-F238E27FC236}">
                  <a16:creationId xmlns:a16="http://schemas.microsoft.com/office/drawing/2014/main" id="{00000000-0008-0000-0F00-0000F7000000}"/>
                </a:ext>
              </a:extLst>
            </xdr:cNvPr>
            <xdr:cNvSpPr txBox="1"/>
          </xdr:nvSpPr>
          <xdr:spPr>
            <a:xfrm>
              <a:off x="666750" y="2114550"/>
              <a:ext cx="2689575" cy="450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de-CH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</m:t>
                        </m:r>
                        <m:d>
                          <m:dPr>
                            <m:ctrlPr>
                              <a:rPr lang="de-CH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de-CH" sz="1100" b="0" i="1">
                                <a:latin typeface="Cambria Math"/>
                              </a:rPr>
                              <m:t>𝑛𝑒𝑢</m:t>
                            </m:r>
                          </m:e>
                        </m:d>
                        <m:r>
                          <a:rPr lang="de-CH" sz="1100" b="0" i="1">
                            <a:latin typeface="Cambria Math"/>
                          </a:rPr>
                          <m:t>−</m:t>
                        </m:r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(</m:t>
                        </m:r>
                        <m:r>
                          <a:rPr lang="de-CH" sz="1100" b="0" i="1">
                            <a:latin typeface="Cambria Math"/>
                          </a:rPr>
                          <m:t>𝑎𝑙𝑡</m:t>
                        </m:r>
                        <m:r>
                          <a:rPr lang="de-CH" sz="1100" b="0" i="1">
                            <a:latin typeface="Cambria Math"/>
                          </a:rPr>
                          <m:t>)</m:t>
                        </m:r>
                      </m:num>
                      <m:den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(</m:t>
                        </m:r>
                        <m:r>
                          <a:rPr lang="de-CH" sz="1100" b="0" i="1">
                            <a:latin typeface="Cambria Math"/>
                          </a:rPr>
                          <m:t>𝑎𝑙𝑡</m:t>
                        </m:r>
                        <m:r>
                          <a:rPr lang="de-CH" sz="1100" b="0" i="1">
                            <a:latin typeface="Cambria Math"/>
                          </a:rPr>
                          <m:t>)</m:t>
                        </m:r>
                      </m:den>
                    </m:f>
                    <m:r>
                      <a:rPr lang="de-CH" sz="1100" b="0" i="1">
                        <a:latin typeface="Cambria Math"/>
                      </a:rPr>
                      <m:t>∗100%</m:t>
                    </m:r>
                  </m:oMath>
                </m:oMathPara>
              </a14:m>
              <a:endParaRPr lang="de-CH" sz="1100"/>
            </a:p>
          </xdr:txBody>
        </xdr:sp>
      </mc:Choice>
      <mc:Fallback xmlns="">
        <xdr:sp macro="" textlink="">
          <xdr:nvSpPr>
            <xdr:cNvPr id="247" name="Textfeld 246"/>
            <xdr:cNvSpPr txBox="1"/>
          </xdr:nvSpPr>
          <xdr:spPr>
            <a:xfrm>
              <a:off x="666750" y="2114550"/>
              <a:ext cx="2689575" cy="450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de-CH" sz="1100" i="0">
                  <a:latin typeface="Cambria Math" panose="02040503050406030204" pitchFamily="18" charset="0"/>
                </a:rPr>
                <a:t>(</a:t>
              </a:r>
              <a:r>
                <a:rPr lang="de-CH" sz="1100" b="0" i="0">
                  <a:latin typeface="Cambria Math"/>
                </a:rPr>
                <a:t>𝐴𝑏𝑠𝑎𝑡𝑧 </a:t>
              </a:r>
              <a:r>
                <a:rPr lang="de-CH" sz="1100" b="0" i="0">
                  <a:latin typeface="Cambria Math" panose="02040503050406030204" pitchFamily="18" charset="0"/>
                </a:rPr>
                <a:t>(</a:t>
              </a:r>
              <a:r>
                <a:rPr lang="de-CH" sz="1100" b="0" i="0">
                  <a:latin typeface="Cambria Math"/>
                </a:rPr>
                <a:t>𝑛𝑒𝑢</a:t>
              </a:r>
              <a:r>
                <a:rPr lang="de-CH" sz="1100" b="0" i="0">
                  <a:latin typeface="Cambria Math" panose="02040503050406030204" pitchFamily="18" charset="0"/>
                </a:rPr>
                <a:t>)</a:t>
              </a:r>
              <a:r>
                <a:rPr lang="de-CH" sz="1100" b="0" i="0">
                  <a:latin typeface="Cambria Math"/>
                </a:rPr>
                <a:t>−𝐴𝑏𝑠𝑎𝑡𝑧 (𝑎𝑙𝑡)</a:t>
              </a:r>
              <a:r>
                <a:rPr lang="de-CH" sz="1100" b="0" i="0">
                  <a:latin typeface="Cambria Math" panose="02040503050406030204" pitchFamily="18" charset="0"/>
                </a:rPr>
                <a:t>)/(</a:t>
              </a:r>
              <a:r>
                <a:rPr lang="de-CH" sz="1100" b="0" i="0">
                  <a:latin typeface="Cambria Math"/>
                </a:rPr>
                <a:t>𝐴𝑏𝑠𝑎𝑡𝑧 (𝑎𝑙𝑡)</a:t>
              </a:r>
              <a:r>
                <a:rPr lang="de-CH" sz="1100" b="0" i="0">
                  <a:latin typeface="Cambria Math" panose="02040503050406030204" pitchFamily="18" charset="0"/>
                </a:rPr>
                <a:t>)</a:t>
              </a:r>
              <a:r>
                <a:rPr lang="de-CH" sz="1100" b="0" i="0">
                  <a:latin typeface="Cambria Math"/>
                </a:rPr>
                <a:t>∗100%</a:t>
              </a:r>
              <a:endParaRPr lang="de-CH" sz="1100"/>
            </a:p>
          </xdr:txBody>
        </xdr:sp>
      </mc:Fallback>
    </mc:AlternateContent>
    <xdr:clientData/>
  </xdr:oneCellAnchor>
  <xdr:twoCellAnchor editAs="oneCell">
    <xdr:from>
      <xdr:col>5</xdr:col>
      <xdr:colOff>85725</xdr:colOff>
      <xdr:row>1</xdr:row>
      <xdr:rowOff>57150</xdr:rowOff>
    </xdr:from>
    <xdr:to>
      <xdr:col>5</xdr:col>
      <xdr:colOff>258525</xdr:colOff>
      <xdr:row>2</xdr:row>
      <xdr:rowOff>163275</xdr:rowOff>
    </xdr:to>
    <xdr:grpSp>
      <xdr:nvGrpSpPr>
        <xdr:cNvPr id="249" name="Gruppieren 248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00000000-0008-0000-0F00-0000F9000000}"/>
            </a:ext>
          </a:extLst>
        </xdr:cNvPr>
        <xdr:cNvGrpSpPr/>
      </xdr:nvGrpSpPr>
      <xdr:grpSpPr>
        <a:xfrm>
          <a:off x="7759065" y="613410"/>
          <a:ext cx="172800" cy="167085"/>
          <a:chOff x="8105775" y="571500"/>
          <a:chExt cx="172800" cy="172800"/>
        </a:xfrm>
      </xdr:grpSpPr>
      <xdr:sp macro="" textlink="">
        <xdr:nvSpPr>
          <xdr:cNvPr id="250" name="Rechteck 249">
            <a:extLst>
              <a:ext uri="{FF2B5EF4-FFF2-40B4-BE49-F238E27FC236}">
                <a16:creationId xmlns:a16="http://schemas.microsoft.com/office/drawing/2014/main" id="{00000000-0008-0000-0F00-0000FA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1" name="Textfeld 250">
            <a:extLst>
              <a:ext uri="{FF2B5EF4-FFF2-40B4-BE49-F238E27FC236}">
                <a16:creationId xmlns:a16="http://schemas.microsoft.com/office/drawing/2014/main" id="{00000000-0008-0000-0F00-0000F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1571619</xdr:colOff>
          <xdr:row>0</xdr:row>
          <xdr:rowOff>19052</xdr:rowOff>
        </xdr:from>
        <xdr:to>
          <xdr:col>5</xdr:col>
          <xdr:colOff>280982</xdr:colOff>
          <xdr:row>0</xdr:row>
          <xdr:rowOff>552452</xdr:rowOff>
        </xdr:to>
        <xdr:pic>
          <xdr:nvPicPr>
            <xdr:cNvPr id="248" name="Grafik 45">
              <a:extLst>
                <a:ext uri="{FF2B5EF4-FFF2-40B4-BE49-F238E27FC236}">
                  <a16:creationId xmlns:a16="http://schemas.microsoft.com/office/drawing/2014/main" id="{00000000-0008-0000-0F00-0000F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99395"/>
                </a:ext>
              </a:extLst>
            </xdr:cNvPicPr>
          </xdr:nvPicPr>
          <xdr:blipFill>
            <a:blip xmlns:r="http://schemas.openxmlformats.org/officeDocument/2006/relationships" r:embed="rId82"/>
            <a:srcRect/>
            <a:stretch>
              <a:fillRect/>
            </a:stretch>
          </xdr:blipFill>
          <xdr:spPr bwMode="auto">
            <a:xfrm>
              <a:off x="5895969" y="19052"/>
              <a:ext cx="2386013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1449705</xdr:colOff>
      <xdr:row>4</xdr:row>
      <xdr:rowOff>237316</xdr:rowOff>
    </xdr:from>
    <xdr:to>
      <xdr:col>2</xdr:col>
      <xdr:colOff>1881705</xdr:colOff>
      <xdr:row>4</xdr:row>
      <xdr:rowOff>671270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>
          <a:spLocks noChangeAspect="1"/>
        </xdr:cNvSpPr>
      </xdr:nvSpPr>
      <xdr:spPr>
        <a:xfrm>
          <a:off x="2173605" y="1334596"/>
          <a:ext cx="432000" cy="433954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3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1019175"/>
          <a:ext cx="895350" cy="882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4" name="Rechteck 6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565786" y="676275"/>
          <a:ext cx="2558415" cy="1451610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oneCellAnchor>
    <xdr:from>
      <xdr:col>2</xdr:col>
      <xdr:colOff>1790700</xdr:colOff>
      <xdr:row>34</xdr:row>
      <xdr:rowOff>99060</xdr:rowOff>
    </xdr:from>
    <xdr:ext cx="895350" cy="247650"/>
    <xdr:sp macro="" textlink="">
      <xdr:nvSpPr>
        <xdr:cNvPr id="5" name="Textfeld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2514600" y="7292340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7" name="Rechteck 10">
            <a:extLst>
              <a:ext uri="{FF2B5EF4-FFF2-40B4-BE49-F238E27FC236}">
                <a16:creationId xmlns:a16="http://schemas.microsoft.com/office/drawing/2014/main" id="{00000000-0008-0000-1000-00000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" name="Grafik 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28575</xdr:colOff>
      <xdr:row>9</xdr:row>
      <xdr:rowOff>47625</xdr:rowOff>
    </xdr:from>
    <xdr:to>
      <xdr:col>3</xdr:col>
      <xdr:colOff>2038350</xdr:colOff>
      <xdr:row>34</xdr:row>
      <xdr:rowOff>57150</xdr:rowOff>
    </xdr:to>
    <xdr:pic>
      <xdr:nvPicPr>
        <xdr:cNvPr id="9" name="Grafik 12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35" y="2638425"/>
          <a:ext cx="5034915" cy="461200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49240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/>
      </xdr:nvGrpSpPr>
      <xdr:grpSpPr>
        <a:xfrm>
          <a:off x="95250" y="104775"/>
          <a:ext cx="324000" cy="31022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1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744860</xdr:colOff>
      <xdr:row>5</xdr:row>
      <xdr:rowOff>142876</xdr:rowOff>
    </xdr:from>
    <xdr:to>
      <xdr:col>3</xdr:col>
      <xdr:colOff>2247803</xdr:colOff>
      <xdr:row>5</xdr:row>
      <xdr:rowOff>392524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0785" y="990601"/>
          <a:ext cx="1502943" cy="2496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Unterricht\@iManagement\01_Cockpi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Unterricht\@iManagement\11_MyManagemen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Unterricht\@iManagement\10_HR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Unterricht\@iManagement\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Menu"/>
      <sheetName val="Uebersicht"/>
      <sheetName val="Massnahmen"/>
      <sheetName val="Projektstand"/>
      <sheetName val="Jahresziele"/>
      <sheetName val="Innovation"/>
      <sheetName val="Quality"/>
      <sheetName val="Vision"/>
      <sheetName val="Kommunikation"/>
      <sheetName val="BSC"/>
      <sheetName val="Kennzahlen"/>
      <sheetName val="Risikomgmt"/>
      <sheetName val="sIndikatoren"/>
      <sheetName val="oIndikatoren"/>
      <sheetName val="iIndikatoren"/>
      <sheetName val="2Strategie"/>
      <sheetName val="2Businessplan"/>
      <sheetName val="2Innovation"/>
      <sheetName val="2Quality"/>
      <sheetName val="Logo"/>
    </sheetNames>
    <sheetDataSet>
      <sheetData sheetId="0" refreshError="1"/>
      <sheetData sheetId="1" refreshError="1"/>
      <sheetData sheetId="2" refreshError="1"/>
      <sheetData sheetId="3">
        <row r="6">
          <cell r="E6" t="str">
            <v>Indicateur 1</v>
          </cell>
          <cell r="P6" t="str">
            <v>Indicateur 1</v>
          </cell>
        </row>
        <row r="7">
          <cell r="P7" t="str">
            <v>Indicateur 2</v>
          </cell>
        </row>
        <row r="8">
          <cell r="P8" t="str">
            <v>Indicateur 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D7" t="str">
            <v>Absatzänderung</v>
          </cell>
        </row>
        <row r="8">
          <cell r="D8" t="str">
            <v>Abwanderungsrate</v>
          </cell>
        </row>
        <row r="9">
          <cell r="D9" t="str">
            <v>Angebotserfolgsquote</v>
          </cell>
        </row>
        <row r="10">
          <cell r="D10" t="str">
            <v>ABC-Analyse ( B )</v>
          </cell>
        </row>
        <row r="11">
          <cell r="D11" t="str">
            <v>Beschwerdequote</v>
          </cell>
        </row>
        <row r="12">
          <cell r="D12" t="str">
            <v>Erstkaufrate</v>
          </cell>
        </row>
        <row r="13">
          <cell r="D13" t="str">
            <v>Kundenfrequenz</v>
          </cell>
        </row>
        <row r="14">
          <cell r="D14" t="str">
            <v>Marktanteil</v>
          </cell>
        </row>
        <row r="15">
          <cell r="D15" t="str">
            <v>Retourenquote</v>
          </cell>
        </row>
        <row r="16">
          <cell r="D16" t="str">
            <v>Sättigungsgrad</v>
          </cell>
        </row>
        <row r="17">
          <cell r="D17" t="str">
            <v>Wiederkaufsrate</v>
          </cell>
        </row>
        <row r="27">
          <cell r="D27" t="str">
            <v>Cashflow (operativ)</v>
          </cell>
        </row>
        <row r="28">
          <cell r="D28" t="str">
            <v>Debitorenlaufzeit</v>
          </cell>
        </row>
        <row r="29">
          <cell r="D29" t="str">
            <v>EBIT</v>
          </cell>
        </row>
        <row r="30">
          <cell r="D30" t="str">
            <v>Eigenkapitalquote</v>
          </cell>
        </row>
        <row r="31">
          <cell r="D31" t="str">
            <v>Eigenkapitalrendite</v>
          </cell>
        </row>
        <row r="32">
          <cell r="D32" t="str">
            <v>Free Cashflow</v>
          </cell>
        </row>
        <row r="33">
          <cell r="D33" t="str">
            <v>Gesamtkapitalrentabilität</v>
          </cell>
        </row>
        <row r="34">
          <cell r="D34" t="str">
            <v>Gesamtkapitalumschlag</v>
          </cell>
        </row>
        <row r="35">
          <cell r="D35" t="str">
            <v>Jahresüberschuss (Gewinn)</v>
          </cell>
        </row>
        <row r="36">
          <cell r="D36" t="str">
            <v>Kapitalbindung</v>
          </cell>
        </row>
        <row r="37">
          <cell r="D37" t="str">
            <v>Liquidität 2. Grades</v>
          </cell>
        </row>
        <row r="38">
          <cell r="D38" t="str">
            <v>Personalintensität</v>
          </cell>
        </row>
        <row r="39">
          <cell r="D39" t="str">
            <v>Return on Investment (ROI)</v>
          </cell>
        </row>
        <row r="40">
          <cell r="D40" t="str">
            <v>Rohertragsmarge</v>
          </cell>
        </row>
        <row r="41">
          <cell r="D41" t="str">
            <v>Durch. Alter der MA</v>
          </cell>
        </row>
        <row r="42">
          <cell r="D42" t="str">
            <v>Fluktuationsrate</v>
          </cell>
        </row>
        <row r="43">
          <cell r="D43" t="str">
            <v>Krankenquote</v>
          </cell>
        </row>
        <row r="44">
          <cell r="D44" t="str">
            <v>Mobbingquote</v>
          </cell>
        </row>
        <row r="45">
          <cell r="D45" t="str">
            <v>Qualifikationsstruktur</v>
          </cell>
        </row>
        <row r="46">
          <cell r="D46" t="str">
            <v>Unfallquote</v>
          </cell>
        </row>
        <row r="47">
          <cell r="D47" t="str">
            <v>Vert. Leistungsbemessung</v>
          </cell>
        </row>
        <row r="51">
          <cell r="D51" t="str">
            <v>Anz. Prozessverbesserungen</v>
          </cell>
        </row>
        <row r="52">
          <cell r="D52" t="str">
            <v>Prozesse 2</v>
          </cell>
        </row>
        <row r="53">
          <cell r="D53" t="str">
            <v>Prozesse 3</v>
          </cell>
        </row>
        <row r="54">
          <cell r="D54" t="str">
            <v>Prozesse 4</v>
          </cell>
        </row>
        <row r="55">
          <cell r="D55" t="str">
            <v>Prozesse 5</v>
          </cell>
        </row>
        <row r="56">
          <cell r="D56" t="str">
            <v>Prozesse 6</v>
          </cell>
        </row>
        <row r="57">
          <cell r="D57" t="str">
            <v>Diverses 1</v>
          </cell>
        </row>
        <row r="58">
          <cell r="D58" t="str">
            <v>Diverses 2</v>
          </cell>
        </row>
        <row r="59">
          <cell r="D59" t="str">
            <v>Diverses 3</v>
          </cell>
        </row>
        <row r="60">
          <cell r="D60" t="str">
            <v>Diverses 4</v>
          </cell>
        </row>
        <row r="61">
          <cell r="D61" t="str">
            <v>Diverses 5</v>
          </cell>
        </row>
        <row r="62">
          <cell r="D62" t="str">
            <v>Diverses 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Stress"/>
      <sheetName val="FightFlight"/>
      <sheetName val="MyMenu"/>
      <sheetName val="Hilfen"/>
      <sheetName val="Lernpyramide"/>
      <sheetName val="Lernen"/>
      <sheetName val="Burnout"/>
      <sheetName val="BuroutSymptome_x000a__x000a_"/>
      <sheetName val="myCanvas"/>
      <sheetName val="mySWOT"/>
      <sheetName val="Selbst"/>
      <sheetName val="Fremd"/>
      <sheetName val="Talente"/>
      <sheetName val="MeinProfil"/>
      <sheetName val="myMotivation"/>
      <sheetName val="Massnahmen"/>
      <sheetName val="Cockpit"/>
      <sheetName val="Grobplan"/>
      <sheetName val="Feedback"/>
      <sheetName val="FragenFeedback"/>
      <sheetName val="RegelnFeedback"/>
      <sheetName val="FeedbackGeben"/>
      <sheetName val="FeedbackEmpfangen"/>
      <sheetName val="Entwicklungsmassnahmen"/>
      <sheetName val="TestTeamrolle"/>
      <sheetName val="Teambuilding"/>
      <sheetName val="ZieleTeam"/>
      <sheetName val="MerkmaleTeam"/>
      <sheetName val="VierZimmer"/>
      <sheetName val="Selbstkonzept"/>
      <sheetName val="Selbstbild"/>
      <sheetName val="Fremdbild"/>
      <sheetName val="Idealbild"/>
      <sheetName val="Johari"/>
      <sheetName val="Johari2"/>
      <sheetName val="Kommunikation"/>
      <sheetName val="Kommunikationsquadrat"/>
      <sheetName val="WinWin"/>
      <sheetName val="PhasenKonflikt"/>
      <sheetName val="RegelnKonflikt"/>
      <sheetName val="Konfliktgespraech"/>
      <sheetName val="FormularKonflikt"/>
      <sheetName val="Climameter"/>
      <sheetName val="Eisenhower"/>
      <sheetName val="Eisenhower2"/>
      <sheetName val="Pareto"/>
      <sheetName val="Huete"/>
      <sheetName val="Praesentieren"/>
      <sheetName val="BewertungArbeit"/>
      <sheetName val="BewertungPras"/>
      <sheetName val="Arbeiten"/>
      <sheetName val="SchwierigeGespraeche"/>
      <sheetName val="GespraechVorbereiten"/>
      <sheetName val="GesprächsFormular"/>
      <sheetName val="Trends"/>
      <sheetName val="Risikomgmt"/>
      <sheetName val="Varianten"/>
      <sheetName val="Fishbone"/>
      <sheetName val="SitzungenLeiten"/>
      <sheetName val="MagischerMoment"/>
      <sheetName val="Stellenbeschrieb"/>
      <sheetName val="RegelnMotivation"/>
      <sheetName val="Flow"/>
      <sheetName val="CheckZielvereinbarung"/>
      <sheetName val="Zielvereinbarung"/>
      <sheetName val="CheckBeurteilung"/>
      <sheetName val="Mobbing"/>
      <sheetName val="TestMobbing"/>
      <sheetName val="MobbingStop"/>
      <sheetName val="2Cockpit"/>
      <sheetName val="2Strategie"/>
      <sheetName val="2BP"/>
      <sheetName val="2BSC"/>
      <sheetName val="2Projektmgmt"/>
      <sheetName val="2Change"/>
      <sheetName val="2Marketing"/>
      <sheetName val="Quell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4">
          <cell r="F4" t="str">
            <v>Bars</v>
          </cell>
        </row>
        <row r="5">
          <cell r="E5" t="str">
            <v>Aufgabe 2</v>
          </cell>
          <cell r="F5">
            <v>11.333333333333334</v>
          </cell>
          <cell r="H5">
            <v>0.3300970873786408</v>
          </cell>
        </row>
        <row r="6">
          <cell r="F6">
            <v>8</v>
          </cell>
        </row>
        <row r="7">
          <cell r="F7">
            <v>7.666666666666667</v>
          </cell>
        </row>
        <row r="8">
          <cell r="F8">
            <v>7.333333333333333</v>
          </cell>
        </row>
        <row r="9">
          <cell r="F9" t="str">
            <v/>
          </cell>
        </row>
        <row r="10">
          <cell r="F10" t="str">
            <v/>
          </cell>
        </row>
        <row r="11">
          <cell r="F11" t="str">
            <v/>
          </cell>
        </row>
        <row r="12">
          <cell r="F12" t="str">
            <v/>
          </cell>
        </row>
        <row r="13">
          <cell r="F13" t="str">
            <v/>
          </cell>
        </row>
        <row r="14">
          <cell r="F14" t="str">
            <v/>
          </cell>
        </row>
        <row r="15">
          <cell r="F15" t="str">
            <v/>
          </cell>
        </row>
        <row r="16">
          <cell r="F16" t="str">
            <v/>
          </cell>
        </row>
        <row r="17">
          <cell r="F17" t="str">
            <v/>
          </cell>
        </row>
        <row r="18">
          <cell r="F18" t="str">
            <v/>
          </cell>
        </row>
        <row r="19">
          <cell r="F19" t="str">
            <v/>
          </cell>
        </row>
        <row r="20">
          <cell r="F20" t="str">
            <v/>
          </cell>
        </row>
        <row r="21">
          <cell r="F21" t="str">
            <v/>
          </cell>
        </row>
        <row r="22">
          <cell r="F22" t="str">
            <v/>
          </cell>
        </row>
        <row r="23">
          <cell r="F23" t="str">
            <v/>
          </cell>
        </row>
        <row r="24">
          <cell r="F24" t="str">
            <v/>
          </cell>
        </row>
      </sheetData>
      <sheetData sheetId="47"/>
      <sheetData sheetId="48"/>
      <sheetData sheetId="49">
        <row r="5">
          <cell r="W5">
            <v>135</v>
          </cell>
        </row>
      </sheetData>
      <sheetData sheetId="50">
        <row r="4">
          <cell r="W4">
            <v>100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MenuHRM"/>
      <sheetName val="Marketing"/>
      <sheetName val="Markt"/>
      <sheetName val="MarketingIntern"/>
      <sheetName val="MarketingExtern"/>
      <sheetName val="Kommunikation"/>
      <sheetName val="Benchmark"/>
      <sheetName val="Trends"/>
      <sheetName val="Gewinnung"/>
      <sheetName val="UebersichtAnforderung"/>
      <sheetName val="Anforderungsprofil"/>
      <sheetName val="UebersichtStellenbeschrieb"/>
      <sheetName val="Stellenbeschrieb"/>
      <sheetName val="CheckStellenauschreibung"/>
      <sheetName val="UebersichtVorselektion"/>
      <sheetName val="Vorselektion"/>
      <sheetName val="UebersichtBGespräch"/>
      <sheetName val="BGespräch"/>
      <sheetName val="CheckEinarbeitung"/>
      <sheetName val="Einsatz"/>
      <sheetName val="iCanvas"/>
      <sheetName val="Motivationstheorien"/>
      <sheetName val="RegelnMotivation"/>
      <sheetName val="Maslow"/>
      <sheetName val="Alderfer"/>
      <sheetName val="McClelland"/>
      <sheetName val="Barbuto"/>
      <sheetName val="McGregor"/>
      <sheetName val="Herzberg"/>
      <sheetName val="Flow"/>
      <sheetName val="Volition"/>
      <sheetName val="GesprächsFormular"/>
      <sheetName val="GespraechVorbereiten"/>
      <sheetName val="FragenFeedback"/>
      <sheetName val="Feedback"/>
      <sheetName val="FeedbackGeben"/>
      <sheetName val="FeedbackEmpfangen"/>
      <sheetName val="RegelnFeedback"/>
      <sheetName val="Selbstkonzept"/>
      <sheetName val="Johari"/>
      <sheetName val="Johari2"/>
      <sheetName val="Entwicklung"/>
      <sheetName val="UebersichtEntwicklung"/>
      <sheetName val="Swot-Analyse"/>
      <sheetName val="Selbst"/>
      <sheetName val="Fremd"/>
      <sheetName val="Kernkompetenzen"/>
      <sheetName val="Entwicklungsmassnahmen"/>
      <sheetName val="Kommunikationsquadrat"/>
      <sheetName val="RegelnKonflikt"/>
      <sheetName val="WinWin"/>
      <sheetName val="VierZimmer"/>
      <sheetName val="Konfliktgespraech"/>
      <sheetName val="FormularKonflikt"/>
      <sheetName val="Erneuerung"/>
      <sheetName val="Team"/>
      <sheetName val="CheckTeam"/>
      <sheetName val="Teambuilding"/>
      <sheetName val="TestTeamrolle"/>
      <sheetName val="ZieleTeam"/>
      <sheetName val="MerkmaleTeam"/>
      <sheetName val="Beurteilung"/>
      <sheetName val="CheckZielvereinbarung"/>
      <sheetName val="UebersichtZielvereinbarung"/>
      <sheetName val="Zielvereinbarung"/>
      <sheetName val="CheckBeurteilung"/>
      <sheetName val="Climameter"/>
      <sheetName val="Austritt"/>
      <sheetName val="SchwierigeGespraeche"/>
      <sheetName val="DebriefingVorbereiten"/>
      <sheetName val="Debriefing"/>
      <sheetName val="Admin"/>
      <sheetName val="Cockpit"/>
      <sheetName val="Massnahmen"/>
      <sheetName val="Risikomgmt"/>
      <sheetName val="Reklamationen"/>
      <sheetName val="Fuehrung"/>
      <sheetName val="Leadership"/>
      <sheetName val="Pareto"/>
      <sheetName val="Fishbone"/>
      <sheetName val="KostenNutzen"/>
      <sheetName val="KPI"/>
      <sheetName val="Eisenhower"/>
      <sheetName val="2Cockpit"/>
      <sheetName val="2Strategie"/>
      <sheetName val="2BP"/>
      <sheetName val="2BSC"/>
      <sheetName val="2Projektmgmt"/>
      <sheetName val="2Change"/>
      <sheetName val="2Marketing"/>
      <sheetName val="Quell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6">
          <cell r="F6" t="str">
            <v>Bars</v>
          </cell>
        </row>
        <row r="7">
          <cell r="E7" t="str">
            <v>Reason 20</v>
          </cell>
          <cell r="F7">
            <v>21</v>
          </cell>
          <cell r="H7">
            <v>9.5454545454545459E-2</v>
          </cell>
        </row>
        <row r="8">
          <cell r="F8">
            <v>19</v>
          </cell>
        </row>
        <row r="9">
          <cell r="F9">
            <v>18</v>
          </cell>
        </row>
        <row r="10">
          <cell r="F10">
            <v>17</v>
          </cell>
        </row>
        <row r="11">
          <cell r="F11">
            <v>16</v>
          </cell>
        </row>
        <row r="12">
          <cell r="F12">
            <v>15</v>
          </cell>
        </row>
        <row r="13">
          <cell r="F13">
            <v>14</v>
          </cell>
        </row>
        <row r="14">
          <cell r="F14">
            <v>13</v>
          </cell>
        </row>
        <row r="15">
          <cell r="F15">
            <v>12</v>
          </cell>
        </row>
        <row r="16">
          <cell r="F16">
            <v>11</v>
          </cell>
        </row>
        <row r="17">
          <cell r="F17">
            <v>10</v>
          </cell>
        </row>
        <row r="18">
          <cell r="F18">
            <v>10</v>
          </cell>
        </row>
        <row r="19">
          <cell r="F19">
            <v>9</v>
          </cell>
        </row>
        <row r="20">
          <cell r="F20">
            <v>8</v>
          </cell>
        </row>
        <row r="21">
          <cell r="F21">
            <v>7</v>
          </cell>
        </row>
        <row r="22">
          <cell r="F22">
            <v>6</v>
          </cell>
        </row>
        <row r="23">
          <cell r="F23">
            <v>5</v>
          </cell>
        </row>
        <row r="24">
          <cell r="F24">
            <v>4</v>
          </cell>
        </row>
        <row r="25">
          <cell r="F25">
            <v>3</v>
          </cell>
        </row>
        <row r="26">
          <cell r="F26">
            <v>2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Projektmgmt"/>
      <sheetName val="Projektauftrag"/>
      <sheetName val="Grobplan"/>
      <sheetName val="Detailplan"/>
      <sheetName val="Detailplan_Uebersicht"/>
      <sheetName val="Projektstand"/>
      <sheetName val="Projektabschluss"/>
      <sheetName val="Projektteam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Help"/>
      <sheetName val="Logo"/>
    </sheetNames>
    <sheetDataSet>
      <sheetData sheetId="0">
        <row r="4">
          <cell r="Z4">
            <v>69763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3300"/>
  </sheetPr>
  <dimension ref="A1:Z233"/>
  <sheetViews>
    <sheetView topLeftCell="A25" zoomScaleNormal="100" workbookViewId="0">
      <selection activeCell="A45" sqref="A45:XFD45"/>
    </sheetView>
  </sheetViews>
  <sheetFormatPr baseColWidth="10" defaultColWidth="11.44140625" defaultRowHeight="14.4" x14ac:dyDescent="0.3"/>
  <cols>
    <col min="1" max="1" width="45.5546875" style="488" customWidth="1"/>
    <col min="2" max="2" width="5.44140625" style="511" hidden="1" customWidth="1"/>
    <col min="3" max="3" width="48.5546875" style="488" customWidth="1"/>
    <col min="4" max="4" width="45.6640625" style="488" customWidth="1"/>
    <col min="5" max="5" width="47" style="488" customWidth="1"/>
    <col min="6" max="6" width="50" style="488" customWidth="1"/>
    <col min="7" max="7" width="41.5546875" style="488" customWidth="1"/>
    <col min="8" max="8" width="18.6640625" style="488" customWidth="1"/>
    <col min="9" max="9" width="11.44140625" style="488"/>
    <col min="10" max="10" width="14.88671875" style="490" customWidth="1"/>
    <col min="11" max="25" width="11.44140625" style="488"/>
    <col min="26" max="26" width="18.33203125" style="488" hidden="1" customWidth="1"/>
    <col min="27" max="256" width="11.44140625" style="488"/>
    <col min="257" max="257" width="41.5546875" style="488" customWidth="1"/>
    <col min="258" max="258" width="12.88671875" style="488" customWidth="1"/>
    <col min="259" max="263" width="34" style="488" customWidth="1"/>
    <col min="264" max="512" width="11.44140625" style="488"/>
    <col min="513" max="513" width="41.5546875" style="488" customWidth="1"/>
    <col min="514" max="514" width="12.88671875" style="488" customWidth="1"/>
    <col min="515" max="519" width="34" style="488" customWidth="1"/>
    <col min="520" max="768" width="11.44140625" style="488"/>
    <col min="769" max="769" width="41.5546875" style="488" customWidth="1"/>
    <col min="770" max="770" width="12.88671875" style="488" customWidth="1"/>
    <col min="771" max="775" width="34" style="488" customWidth="1"/>
    <col min="776" max="1024" width="11.44140625" style="488"/>
    <col min="1025" max="1025" width="41.5546875" style="488" customWidth="1"/>
    <col min="1026" max="1026" width="12.88671875" style="488" customWidth="1"/>
    <col min="1027" max="1031" width="34" style="488" customWidth="1"/>
    <col min="1032" max="1280" width="11.44140625" style="488"/>
    <col min="1281" max="1281" width="41.5546875" style="488" customWidth="1"/>
    <col min="1282" max="1282" width="12.88671875" style="488" customWidth="1"/>
    <col min="1283" max="1287" width="34" style="488" customWidth="1"/>
    <col min="1288" max="1536" width="11.44140625" style="488"/>
    <col min="1537" max="1537" width="41.5546875" style="488" customWidth="1"/>
    <col min="1538" max="1538" width="12.88671875" style="488" customWidth="1"/>
    <col min="1539" max="1543" width="34" style="488" customWidth="1"/>
    <col min="1544" max="1792" width="11.44140625" style="488"/>
    <col min="1793" max="1793" width="41.5546875" style="488" customWidth="1"/>
    <col min="1794" max="1794" width="12.88671875" style="488" customWidth="1"/>
    <col min="1795" max="1799" width="34" style="488" customWidth="1"/>
    <col min="1800" max="2048" width="11.44140625" style="488"/>
    <col min="2049" max="2049" width="41.5546875" style="488" customWidth="1"/>
    <col min="2050" max="2050" width="12.88671875" style="488" customWidth="1"/>
    <col min="2051" max="2055" width="34" style="488" customWidth="1"/>
    <col min="2056" max="2304" width="11.44140625" style="488"/>
    <col min="2305" max="2305" width="41.5546875" style="488" customWidth="1"/>
    <col min="2306" max="2306" width="12.88671875" style="488" customWidth="1"/>
    <col min="2307" max="2311" width="34" style="488" customWidth="1"/>
    <col min="2312" max="2560" width="11.44140625" style="488"/>
    <col min="2561" max="2561" width="41.5546875" style="488" customWidth="1"/>
    <col min="2562" max="2562" width="12.88671875" style="488" customWidth="1"/>
    <col min="2563" max="2567" width="34" style="488" customWidth="1"/>
    <col min="2568" max="2816" width="11.44140625" style="488"/>
    <col min="2817" max="2817" width="41.5546875" style="488" customWidth="1"/>
    <col min="2818" max="2818" width="12.88671875" style="488" customWidth="1"/>
    <col min="2819" max="2823" width="34" style="488" customWidth="1"/>
    <col min="2824" max="3072" width="11.44140625" style="488"/>
    <col min="3073" max="3073" width="41.5546875" style="488" customWidth="1"/>
    <col min="3074" max="3074" width="12.88671875" style="488" customWidth="1"/>
    <col min="3075" max="3079" width="34" style="488" customWidth="1"/>
    <col min="3080" max="3328" width="11.44140625" style="488"/>
    <col min="3329" max="3329" width="41.5546875" style="488" customWidth="1"/>
    <col min="3330" max="3330" width="12.88671875" style="488" customWidth="1"/>
    <col min="3331" max="3335" width="34" style="488" customWidth="1"/>
    <col min="3336" max="3584" width="11.44140625" style="488"/>
    <col min="3585" max="3585" width="41.5546875" style="488" customWidth="1"/>
    <col min="3586" max="3586" width="12.88671875" style="488" customWidth="1"/>
    <col min="3587" max="3591" width="34" style="488" customWidth="1"/>
    <col min="3592" max="3840" width="11.44140625" style="488"/>
    <col min="3841" max="3841" width="41.5546875" style="488" customWidth="1"/>
    <col min="3842" max="3842" width="12.88671875" style="488" customWidth="1"/>
    <col min="3843" max="3847" width="34" style="488" customWidth="1"/>
    <col min="3848" max="4096" width="11.44140625" style="488"/>
    <col min="4097" max="4097" width="41.5546875" style="488" customWidth="1"/>
    <col min="4098" max="4098" width="12.88671875" style="488" customWidth="1"/>
    <col min="4099" max="4103" width="34" style="488" customWidth="1"/>
    <col min="4104" max="4352" width="11.44140625" style="488"/>
    <col min="4353" max="4353" width="41.5546875" style="488" customWidth="1"/>
    <col min="4354" max="4354" width="12.88671875" style="488" customWidth="1"/>
    <col min="4355" max="4359" width="34" style="488" customWidth="1"/>
    <col min="4360" max="4608" width="11.44140625" style="488"/>
    <col min="4609" max="4609" width="41.5546875" style="488" customWidth="1"/>
    <col min="4610" max="4610" width="12.88671875" style="488" customWidth="1"/>
    <col min="4611" max="4615" width="34" style="488" customWidth="1"/>
    <col min="4616" max="4864" width="11.44140625" style="488"/>
    <col min="4865" max="4865" width="41.5546875" style="488" customWidth="1"/>
    <col min="4866" max="4866" width="12.88671875" style="488" customWidth="1"/>
    <col min="4867" max="4871" width="34" style="488" customWidth="1"/>
    <col min="4872" max="5120" width="11.44140625" style="488"/>
    <col min="5121" max="5121" width="41.5546875" style="488" customWidth="1"/>
    <col min="5122" max="5122" width="12.88671875" style="488" customWidth="1"/>
    <col min="5123" max="5127" width="34" style="488" customWidth="1"/>
    <col min="5128" max="5376" width="11.44140625" style="488"/>
    <col min="5377" max="5377" width="41.5546875" style="488" customWidth="1"/>
    <col min="5378" max="5378" width="12.88671875" style="488" customWidth="1"/>
    <col min="5379" max="5383" width="34" style="488" customWidth="1"/>
    <col min="5384" max="5632" width="11.44140625" style="488"/>
    <col min="5633" max="5633" width="41.5546875" style="488" customWidth="1"/>
    <col min="5634" max="5634" width="12.88671875" style="488" customWidth="1"/>
    <col min="5635" max="5639" width="34" style="488" customWidth="1"/>
    <col min="5640" max="5888" width="11.44140625" style="488"/>
    <col min="5889" max="5889" width="41.5546875" style="488" customWidth="1"/>
    <col min="5890" max="5890" width="12.88671875" style="488" customWidth="1"/>
    <col min="5891" max="5895" width="34" style="488" customWidth="1"/>
    <col min="5896" max="6144" width="11.44140625" style="488"/>
    <col min="6145" max="6145" width="41.5546875" style="488" customWidth="1"/>
    <col min="6146" max="6146" width="12.88671875" style="488" customWidth="1"/>
    <col min="6147" max="6151" width="34" style="488" customWidth="1"/>
    <col min="6152" max="6400" width="11.44140625" style="488"/>
    <col min="6401" max="6401" width="41.5546875" style="488" customWidth="1"/>
    <col min="6402" max="6402" width="12.88671875" style="488" customWidth="1"/>
    <col min="6403" max="6407" width="34" style="488" customWidth="1"/>
    <col min="6408" max="6656" width="11.44140625" style="488"/>
    <col min="6657" max="6657" width="41.5546875" style="488" customWidth="1"/>
    <col min="6658" max="6658" width="12.88671875" style="488" customWidth="1"/>
    <col min="6659" max="6663" width="34" style="488" customWidth="1"/>
    <col min="6664" max="6912" width="11.44140625" style="488"/>
    <col min="6913" max="6913" width="41.5546875" style="488" customWidth="1"/>
    <col min="6914" max="6914" width="12.88671875" style="488" customWidth="1"/>
    <col min="6915" max="6919" width="34" style="488" customWidth="1"/>
    <col min="6920" max="7168" width="11.44140625" style="488"/>
    <col min="7169" max="7169" width="41.5546875" style="488" customWidth="1"/>
    <col min="7170" max="7170" width="12.88671875" style="488" customWidth="1"/>
    <col min="7171" max="7175" width="34" style="488" customWidth="1"/>
    <col min="7176" max="7424" width="11.44140625" style="488"/>
    <col min="7425" max="7425" width="41.5546875" style="488" customWidth="1"/>
    <col min="7426" max="7426" width="12.88671875" style="488" customWidth="1"/>
    <col min="7427" max="7431" width="34" style="488" customWidth="1"/>
    <col min="7432" max="7680" width="11.44140625" style="488"/>
    <col min="7681" max="7681" width="41.5546875" style="488" customWidth="1"/>
    <col min="7682" max="7682" width="12.88671875" style="488" customWidth="1"/>
    <col min="7683" max="7687" width="34" style="488" customWidth="1"/>
    <col min="7688" max="7936" width="11.44140625" style="488"/>
    <col min="7937" max="7937" width="41.5546875" style="488" customWidth="1"/>
    <col min="7938" max="7938" width="12.88671875" style="488" customWidth="1"/>
    <col min="7939" max="7943" width="34" style="488" customWidth="1"/>
    <col min="7944" max="8192" width="11.44140625" style="488"/>
    <col min="8193" max="8193" width="41.5546875" style="488" customWidth="1"/>
    <col min="8194" max="8194" width="12.88671875" style="488" customWidth="1"/>
    <col min="8195" max="8199" width="34" style="488" customWidth="1"/>
    <col min="8200" max="8448" width="11.44140625" style="488"/>
    <col min="8449" max="8449" width="41.5546875" style="488" customWidth="1"/>
    <col min="8450" max="8450" width="12.88671875" style="488" customWidth="1"/>
    <col min="8451" max="8455" width="34" style="488" customWidth="1"/>
    <col min="8456" max="8704" width="11.44140625" style="488"/>
    <col min="8705" max="8705" width="41.5546875" style="488" customWidth="1"/>
    <col min="8706" max="8706" width="12.88671875" style="488" customWidth="1"/>
    <col min="8707" max="8711" width="34" style="488" customWidth="1"/>
    <col min="8712" max="8960" width="11.44140625" style="488"/>
    <col min="8961" max="8961" width="41.5546875" style="488" customWidth="1"/>
    <col min="8962" max="8962" width="12.88671875" style="488" customWidth="1"/>
    <col min="8963" max="8967" width="34" style="488" customWidth="1"/>
    <col min="8968" max="9216" width="11.44140625" style="488"/>
    <col min="9217" max="9217" width="41.5546875" style="488" customWidth="1"/>
    <col min="9218" max="9218" width="12.88671875" style="488" customWidth="1"/>
    <col min="9219" max="9223" width="34" style="488" customWidth="1"/>
    <col min="9224" max="9472" width="11.44140625" style="488"/>
    <col min="9473" max="9473" width="41.5546875" style="488" customWidth="1"/>
    <col min="9474" max="9474" width="12.88671875" style="488" customWidth="1"/>
    <col min="9475" max="9479" width="34" style="488" customWidth="1"/>
    <col min="9480" max="9728" width="11.44140625" style="488"/>
    <col min="9729" max="9729" width="41.5546875" style="488" customWidth="1"/>
    <col min="9730" max="9730" width="12.88671875" style="488" customWidth="1"/>
    <col min="9731" max="9735" width="34" style="488" customWidth="1"/>
    <col min="9736" max="9984" width="11.44140625" style="488"/>
    <col min="9985" max="9985" width="41.5546875" style="488" customWidth="1"/>
    <col min="9986" max="9986" width="12.88671875" style="488" customWidth="1"/>
    <col min="9987" max="9991" width="34" style="488" customWidth="1"/>
    <col min="9992" max="10240" width="11.44140625" style="488"/>
    <col min="10241" max="10241" width="41.5546875" style="488" customWidth="1"/>
    <col min="10242" max="10242" width="12.88671875" style="488" customWidth="1"/>
    <col min="10243" max="10247" width="34" style="488" customWidth="1"/>
    <col min="10248" max="10496" width="11.44140625" style="488"/>
    <col min="10497" max="10497" width="41.5546875" style="488" customWidth="1"/>
    <col min="10498" max="10498" width="12.88671875" style="488" customWidth="1"/>
    <col min="10499" max="10503" width="34" style="488" customWidth="1"/>
    <col min="10504" max="10752" width="11.44140625" style="488"/>
    <col min="10753" max="10753" width="41.5546875" style="488" customWidth="1"/>
    <col min="10754" max="10754" width="12.88671875" style="488" customWidth="1"/>
    <col min="10755" max="10759" width="34" style="488" customWidth="1"/>
    <col min="10760" max="11008" width="11.44140625" style="488"/>
    <col min="11009" max="11009" width="41.5546875" style="488" customWidth="1"/>
    <col min="11010" max="11010" width="12.88671875" style="488" customWidth="1"/>
    <col min="11011" max="11015" width="34" style="488" customWidth="1"/>
    <col min="11016" max="11264" width="11.44140625" style="488"/>
    <col min="11265" max="11265" width="41.5546875" style="488" customWidth="1"/>
    <col min="11266" max="11266" width="12.88671875" style="488" customWidth="1"/>
    <col min="11267" max="11271" width="34" style="488" customWidth="1"/>
    <col min="11272" max="11520" width="11.44140625" style="488"/>
    <col min="11521" max="11521" width="41.5546875" style="488" customWidth="1"/>
    <col min="11522" max="11522" width="12.88671875" style="488" customWidth="1"/>
    <col min="11523" max="11527" width="34" style="488" customWidth="1"/>
    <col min="11528" max="11776" width="11.44140625" style="488"/>
    <col min="11777" max="11777" width="41.5546875" style="488" customWidth="1"/>
    <col min="11778" max="11778" width="12.88671875" style="488" customWidth="1"/>
    <col min="11779" max="11783" width="34" style="488" customWidth="1"/>
    <col min="11784" max="12032" width="11.44140625" style="488"/>
    <col min="12033" max="12033" width="41.5546875" style="488" customWidth="1"/>
    <col min="12034" max="12034" width="12.88671875" style="488" customWidth="1"/>
    <col min="12035" max="12039" width="34" style="488" customWidth="1"/>
    <col min="12040" max="12288" width="11.44140625" style="488"/>
    <col min="12289" max="12289" width="41.5546875" style="488" customWidth="1"/>
    <col min="12290" max="12290" width="12.88671875" style="488" customWidth="1"/>
    <col min="12291" max="12295" width="34" style="488" customWidth="1"/>
    <col min="12296" max="12544" width="11.44140625" style="488"/>
    <col min="12545" max="12545" width="41.5546875" style="488" customWidth="1"/>
    <col min="12546" max="12546" width="12.88671875" style="488" customWidth="1"/>
    <col min="12547" max="12551" width="34" style="488" customWidth="1"/>
    <col min="12552" max="12800" width="11.44140625" style="488"/>
    <col min="12801" max="12801" width="41.5546875" style="488" customWidth="1"/>
    <col min="12802" max="12802" width="12.88671875" style="488" customWidth="1"/>
    <col min="12803" max="12807" width="34" style="488" customWidth="1"/>
    <col min="12808" max="13056" width="11.44140625" style="488"/>
    <col min="13057" max="13057" width="41.5546875" style="488" customWidth="1"/>
    <col min="13058" max="13058" width="12.88671875" style="488" customWidth="1"/>
    <col min="13059" max="13063" width="34" style="488" customWidth="1"/>
    <col min="13064" max="13312" width="11.44140625" style="488"/>
    <col min="13313" max="13313" width="41.5546875" style="488" customWidth="1"/>
    <col min="13314" max="13314" width="12.88671875" style="488" customWidth="1"/>
    <col min="13315" max="13319" width="34" style="488" customWidth="1"/>
    <col min="13320" max="13568" width="11.44140625" style="488"/>
    <col min="13569" max="13569" width="41.5546875" style="488" customWidth="1"/>
    <col min="13570" max="13570" width="12.88671875" style="488" customWidth="1"/>
    <col min="13571" max="13575" width="34" style="488" customWidth="1"/>
    <col min="13576" max="13824" width="11.44140625" style="488"/>
    <col min="13825" max="13825" width="41.5546875" style="488" customWidth="1"/>
    <col min="13826" max="13826" width="12.88671875" style="488" customWidth="1"/>
    <col min="13827" max="13831" width="34" style="488" customWidth="1"/>
    <col min="13832" max="14080" width="11.44140625" style="488"/>
    <col min="14081" max="14081" width="41.5546875" style="488" customWidth="1"/>
    <col min="14082" max="14082" width="12.88671875" style="488" customWidth="1"/>
    <col min="14083" max="14087" width="34" style="488" customWidth="1"/>
    <col min="14088" max="14336" width="11.44140625" style="488"/>
    <col min="14337" max="14337" width="41.5546875" style="488" customWidth="1"/>
    <col min="14338" max="14338" width="12.88671875" style="488" customWidth="1"/>
    <col min="14339" max="14343" width="34" style="488" customWidth="1"/>
    <col min="14344" max="14592" width="11.44140625" style="488"/>
    <col min="14593" max="14593" width="41.5546875" style="488" customWidth="1"/>
    <col min="14594" max="14594" width="12.88671875" style="488" customWidth="1"/>
    <col min="14595" max="14599" width="34" style="488" customWidth="1"/>
    <col min="14600" max="14848" width="11.44140625" style="488"/>
    <col min="14849" max="14849" width="41.5546875" style="488" customWidth="1"/>
    <col min="14850" max="14850" width="12.88671875" style="488" customWidth="1"/>
    <col min="14851" max="14855" width="34" style="488" customWidth="1"/>
    <col min="14856" max="15104" width="11.44140625" style="488"/>
    <col min="15105" max="15105" width="41.5546875" style="488" customWidth="1"/>
    <col min="15106" max="15106" width="12.88671875" style="488" customWidth="1"/>
    <col min="15107" max="15111" width="34" style="488" customWidth="1"/>
    <col min="15112" max="15360" width="11.44140625" style="488"/>
    <col min="15361" max="15361" width="41.5546875" style="488" customWidth="1"/>
    <col min="15362" max="15362" width="12.88671875" style="488" customWidth="1"/>
    <col min="15363" max="15367" width="34" style="488" customWidth="1"/>
    <col min="15368" max="15616" width="11.44140625" style="488"/>
    <col min="15617" max="15617" width="41.5546875" style="488" customWidth="1"/>
    <col min="15618" max="15618" width="12.88671875" style="488" customWidth="1"/>
    <col min="15619" max="15623" width="34" style="488" customWidth="1"/>
    <col min="15624" max="15872" width="11.44140625" style="488"/>
    <col min="15873" max="15873" width="41.5546875" style="488" customWidth="1"/>
    <col min="15874" max="15874" width="12.88671875" style="488" customWidth="1"/>
    <col min="15875" max="15879" width="34" style="488" customWidth="1"/>
    <col min="15880" max="16128" width="11.44140625" style="488"/>
    <col min="16129" max="16129" width="41.5546875" style="488" customWidth="1"/>
    <col min="16130" max="16130" width="12.88671875" style="488" customWidth="1"/>
    <col min="16131" max="16135" width="34" style="488" customWidth="1"/>
    <col min="16136" max="16384" width="11.44140625" style="488"/>
  </cols>
  <sheetData>
    <row r="1" spans="1:26" x14ac:dyDescent="0.3">
      <c r="A1" s="488" t="str">
        <f ca="1">OFFSET($C1,0,$Z$5-1)</f>
        <v>Français</v>
      </c>
      <c r="B1" s="489"/>
      <c r="C1" s="480" t="s">
        <v>55</v>
      </c>
      <c r="D1" s="480" t="s">
        <v>64</v>
      </c>
      <c r="E1" s="480" t="s">
        <v>405</v>
      </c>
      <c r="F1" s="480" t="s">
        <v>406</v>
      </c>
      <c r="Z1" s="490"/>
    </row>
    <row r="2" spans="1:26" x14ac:dyDescent="0.3">
      <c r="A2" s="491" t="s">
        <v>56</v>
      </c>
      <c r="B2" s="492"/>
      <c r="C2" s="481" t="s">
        <v>57</v>
      </c>
      <c r="D2" s="481" t="s">
        <v>58</v>
      </c>
      <c r="E2" s="481" t="s">
        <v>59</v>
      </c>
      <c r="F2" s="481" t="s">
        <v>60</v>
      </c>
      <c r="G2" s="481" t="s">
        <v>61</v>
      </c>
      <c r="Z2" s="490"/>
    </row>
    <row r="3" spans="1:26" ht="18" customHeight="1" x14ac:dyDescent="0.3">
      <c r="A3" s="493" t="s">
        <v>62</v>
      </c>
      <c r="B3" s="492"/>
      <c r="C3" s="482" t="s">
        <v>55</v>
      </c>
      <c r="D3" s="482" t="s">
        <v>64</v>
      </c>
      <c r="E3" s="482" t="s">
        <v>405</v>
      </c>
      <c r="F3" s="482" t="s">
        <v>406</v>
      </c>
      <c r="G3" s="482" t="s">
        <v>63</v>
      </c>
      <c r="Z3" s="490"/>
    </row>
    <row r="4" spans="1:26" ht="0.15" customHeight="1" x14ac:dyDescent="0.3">
      <c r="A4" s="494"/>
      <c r="B4" s="495">
        <v>2</v>
      </c>
      <c r="C4" s="483"/>
      <c r="D4" s="483"/>
      <c r="E4" s="483"/>
      <c r="F4" s="483"/>
      <c r="G4" s="483"/>
      <c r="Z4" s="496">
        <v>55153</v>
      </c>
    </row>
    <row r="5" spans="1:26" s="499" customFormat="1" ht="18" customHeight="1" x14ac:dyDescent="0.3">
      <c r="A5" s="479" t="str">
        <f t="shared" ref="A5:A64" ca="1" si="0">OFFSET($C5,0,$Z$5-1)</f>
        <v>C O M M U N I C A T I O N</v>
      </c>
      <c r="B5" s="497"/>
      <c r="C5" s="479" t="s">
        <v>391</v>
      </c>
      <c r="D5" s="479" t="s">
        <v>392</v>
      </c>
      <c r="E5" s="479" t="s">
        <v>392</v>
      </c>
      <c r="F5" s="484"/>
      <c r="G5" s="498" t="s">
        <v>407</v>
      </c>
      <c r="Z5" s="500">
        <f ca="1">IF(AND(Menu!C36="© iManagement • s.imboden • www.2iManagement.ch",
Stakeholder!B25="© iManagement • s.imboden • www.2iManagement.ch",
TODAY()&lt;=$Z$4),
$B$4,5)</f>
        <v>2</v>
      </c>
    </row>
    <row r="6" spans="1:26" x14ac:dyDescent="0.3">
      <c r="A6" s="501" t="str">
        <f t="shared" ca="1" si="0"/>
        <v>Phases</v>
      </c>
      <c r="B6" s="502"/>
      <c r="C6" s="485" t="s">
        <v>65</v>
      </c>
      <c r="D6" s="473" t="s">
        <v>66</v>
      </c>
      <c r="E6" s="473" t="s">
        <v>66</v>
      </c>
      <c r="F6" s="485"/>
      <c r="G6" s="503" t="s">
        <v>407</v>
      </c>
      <c r="Z6" s="504" t="s">
        <v>55</v>
      </c>
    </row>
    <row r="7" spans="1:26" x14ac:dyDescent="0.3">
      <c r="A7" s="505" t="str">
        <f t="shared" ca="1" si="0"/>
        <v>Questions</v>
      </c>
      <c r="B7" s="502"/>
      <c r="C7" s="149" t="s">
        <v>67</v>
      </c>
      <c r="D7" s="83" t="s">
        <v>68</v>
      </c>
      <c r="E7" s="83" t="s">
        <v>68</v>
      </c>
      <c r="F7" s="149"/>
      <c r="G7" s="506" t="s">
        <v>407</v>
      </c>
      <c r="Z7" s="504" t="s">
        <v>64</v>
      </c>
    </row>
    <row r="8" spans="1:26" x14ac:dyDescent="0.3">
      <c r="A8" s="505" t="str">
        <f t="shared" ca="1" si="0"/>
        <v>Outils</v>
      </c>
      <c r="B8" s="502"/>
      <c r="C8" s="83" t="s">
        <v>69</v>
      </c>
      <c r="D8" s="83" t="s">
        <v>129</v>
      </c>
      <c r="E8" s="83" t="s">
        <v>587</v>
      </c>
      <c r="F8" s="149"/>
      <c r="G8" s="506" t="s">
        <v>407</v>
      </c>
      <c r="Z8" s="504" t="s">
        <v>405</v>
      </c>
    </row>
    <row r="9" spans="1:26" x14ac:dyDescent="0.3">
      <c r="A9" s="505" t="str">
        <f t="shared" ca="1" si="0"/>
        <v>externe</v>
      </c>
      <c r="B9" s="502"/>
      <c r="C9" s="149" t="s">
        <v>70</v>
      </c>
      <c r="D9" s="83" t="s">
        <v>71</v>
      </c>
      <c r="E9" s="83" t="s">
        <v>588</v>
      </c>
      <c r="F9" s="149"/>
      <c r="G9" s="506" t="s">
        <v>407</v>
      </c>
      <c r="Z9" s="490"/>
    </row>
    <row r="10" spans="1:26" x14ac:dyDescent="0.3">
      <c r="A10" s="505" t="str">
        <f t="shared" ca="1" si="0"/>
        <v>interne</v>
      </c>
      <c r="B10" s="502"/>
      <c r="C10" s="83" t="s">
        <v>72</v>
      </c>
      <c r="D10" s="83" t="s">
        <v>73</v>
      </c>
      <c r="E10" s="83" t="s">
        <v>457</v>
      </c>
      <c r="F10" s="149"/>
      <c r="G10" s="506" t="s">
        <v>407</v>
      </c>
      <c r="Z10" s="490"/>
    </row>
    <row r="11" spans="1:26" x14ac:dyDescent="0.3">
      <c r="A11" s="505" t="str">
        <f t="shared" ca="1" si="0"/>
        <v>Analyse de la situation</v>
      </c>
      <c r="B11" s="502"/>
      <c r="C11" s="83" t="s">
        <v>607</v>
      </c>
      <c r="D11" s="83" t="s">
        <v>254</v>
      </c>
      <c r="E11" s="83" t="s">
        <v>582</v>
      </c>
      <c r="F11" s="149"/>
      <c r="G11" s="506" t="s">
        <v>407</v>
      </c>
      <c r="Z11" s="490"/>
    </row>
    <row r="12" spans="1:26" x14ac:dyDescent="0.3">
      <c r="A12" s="505" t="str">
        <f t="shared" ca="1" si="0"/>
        <v>ÉTAT actuel</v>
      </c>
      <c r="B12" s="502"/>
      <c r="C12" s="83" t="s">
        <v>74</v>
      </c>
      <c r="D12" s="83" t="s">
        <v>75</v>
      </c>
      <c r="E12" s="83" t="s">
        <v>589</v>
      </c>
      <c r="F12" s="149"/>
      <c r="G12" s="506" t="s">
        <v>407</v>
      </c>
      <c r="Z12" s="490"/>
    </row>
    <row r="13" spans="1:26" x14ac:dyDescent="0.3">
      <c r="A13" s="505" t="str">
        <f t="shared" ca="1" si="0"/>
        <v>Objectifs &amp; Mesures</v>
      </c>
      <c r="B13" s="502"/>
      <c r="C13" s="83" t="s">
        <v>956</v>
      </c>
      <c r="D13" s="83" t="s">
        <v>957</v>
      </c>
      <c r="E13" s="83" t="s">
        <v>958</v>
      </c>
      <c r="F13" s="149"/>
      <c r="G13" s="506" t="s">
        <v>407</v>
      </c>
      <c r="Z13" s="490"/>
    </row>
    <row r="14" spans="1:26" x14ac:dyDescent="0.3">
      <c r="A14" s="505" t="str">
        <f t="shared" ca="1" si="0"/>
        <v>ÉTAT futur</v>
      </c>
      <c r="B14" s="502"/>
      <c r="C14" s="83" t="s">
        <v>76</v>
      </c>
      <c r="D14" s="83" t="s">
        <v>149</v>
      </c>
      <c r="E14" s="83" t="s">
        <v>590</v>
      </c>
      <c r="F14" s="149"/>
      <c r="G14" s="506" t="s">
        <v>407</v>
      </c>
      <c r="Z14" s="490"/>
    </row>
    <row r="15" spans="1:26" x14ac:dyDescent="0.3">
      <c r="A15" s="505" t="str">
        <f t="shared" ca="1" si="0"/>
        <v>Scénarios</v>
      </c>
      <c r="B15" s="502"/>
      <c r="C15" s="83" t="s">
        <v>77</v>
      </c>
      <c r="D15" s="83" t="s">
        <v>98</v>
      </c>
      <c r="E15" s="83" t="s">
        <v>591</v>
      </c>
      <c r="F15" s="149"/>
      <c r="G15" s="506" t="s">
        <v>407</v>
      </c>
      <c r="Z15" s="490"/>
    </row>
    <row r="16" spans="1:26" x14ac:dyDescent="0.3">
      <c r="A16" s="505" t="str">
        <f t="shared" ca="1" si="0"/>
        <v>Mis à jour le :</v>
      </c>
      <c r="B16" s="502"/>
      <c r="C16" s="149" t="s">
        <v>414</v>
      </c>
      <c r="D16" s="83" t="s">
        <v>415</v>
      </c>
      <c r="E16" s="83" t="s">
        <v>583</v>
      </c>
      <c r="F16" s="149"/>
      <c r="G16" s="506" t="s">
        <v>407</v>
      </c>
      <c r="Z16" s="490"/>
    </row>
    <row r="17" spans="1:26" x14ac:dyDescent="0.3">
      <c r="A17" s="505" t="str">
        <f t="shared" ca="1" si="0"/>
        <v>1. Stakeholder</v>
      </c>
      <c r="B17" s="502"/>
      <c r="C17" s="83" t="s">
        <v>676</v>
      </c>
      <c r="D17" s="83" t="s">
        <v>676</v>
      </c>
      <c r="E17" s="83" t="s">
        <v>676</v>
      </c>
      <c r="F17" s="149"/>
      <c r="G17" s="506" t="s">
        <v>407</v>
      </c>
      <c r="Z17" s="490"/>
    </row>
    <row r="18" spans="1:26" x14ac:dyDescent="0.3">
      <c r="A18" s="505" t="str">
        <f t="shared" ca="1" si="0"/>
        <v>2. PESTEL</v>
      </c>
      <c r="B18" s="502"/>
      <c r="C18" s="83" t="s">
        <v>677</v>
      </c>
      <c r="D18" s="83" t="s">
        <v>677</v>
      </c>
      <c r="E18" s="83" t="s">
        <v>677</v>
      </c>
      <c r="F18" s="149"/>
      <c r="G18" s="506" t="s">
        <v>407</v>
      </c>
      <c r="Z18" s="490"/>
    </row>
    <row r="19" spans="1:26" x14ac:dyDescent="0.3">
      <c r="A19" s="505" t="str">
        <f t="shared" ca="1" si="0"/>
        <v>5. Objectifs</v>
      </c>
      <c r="B19" s="502"/>
      <c r="C19" s="83" t="s">
        <v>959</v>
      </c>
      <c r="D19" s="83" t="s">
        <v>962</v>
      </c>
      <c r="E19" s="83" t="s">
        <v>965</v>
      </c>
      <c r="F19" s="149"/>
      <c r="G19" s="506" t="s">
        <v>407</v>
      </c>
    </row>
    <row r="20" spans="1:26" x14ac:dyDescent="0.3">
      <c r="A20" s="505" t="str">
        <f t="shared" ca="1" si="0"/>
        <v>6. Groupe cible</v>
      </c>
      <c r="B20" s="502"/>
      <c r="C20" s="83" t="s">
        <v>960</v>
      </c>
      <c r="D20" s="83" t="s">
        <v>963</v>
      </c>
      <c r="E20" s="49" t="s">
        <v>966</v>
      </c>
      <c r="F20" s="149"/>
      <c r="G20" s="506" t="s">
        <v>407</v>
      </c>
    </row>
    <row r="21" spans="1:26" x14ac:dyDescent="0.3">
      <c r="A21" s="505" t="str">
        <f t="shared" ca="1" si="0"/>
        <v>Gestion des risques</v>
      </c>
      <c r="B21" s="502"/>
      <c r="C21" s="83" t="s">
        <v>249</v>
      </c>
      <c r="D21" s="83" t="s">
        <v>253</v>
      </c>
      <c r="E21" s="83" t="s">
        <v>584</v>
      </c>
      <c r="F21" s="149"/>
      <c r="G21" s="506" t="s">
        <v>407</v>
      </c>
    </row>
    <row r="22" spans="1:26" x14ac:dyDescent="0.3">
      <c r="A22" s="505" t="str">
        <f t="shared" ca="1" si="0"/>
        <v>7. Risques</v>
      </c>
      <c r="B22" s="502"/>
      <c r="C22" s="83" t="s">
        <v>961</v>
      </c>
      <c r="D22" s="83" t="s">
        <v>964</v>
      </c>
      <c r="E22" s="83" t="s">
        <v>967</v>
      </c>
      <c r="F22" s="149"/>
      <c r="G22" s="506" t="s">
        <v>407</v>
      </c>
    </row>
    <row r="23" spans="1:26" x14ac:dyDescent="0.3">
      <c r="A23" s="505" t="str">
        <f t="shared" ca="1" si="0"/>
        <v>4. Vision</v>
      </c>
      <c r="B23" s="502"/>
      <c r="C23" s="83" t="s">
        <v>1012</v>
      </c>
      <c r="D23" s="83" t="s">
        <v>1012</v>
      </c>
      <c r="E23" s="83" t="s">
        <v>1012</v>
      </c>
      <c r="F23" s="149"/>
      <c r="G23" s="506" t="s">
        <v>407</v>
      </c>
    </row>
    <row r="24" spans="1:26" x14ac:dyDescent="0.3">
      <c r="A24" s="505" t="str">
        <f t="shared" ca="1" si="0"/>
        <v>8. Mesures</v>
      </c>
      <c r="B24" s="502"/>
      <c r="C24" s="83" t="s">
        <v>760</v>
      </c>
      <c r="D24" s="83" t="s">
        <v>761</v>
      </c>
      <c r="E24" s="83" t="s">
        <v>762</v>
      </c>
      <c r="F24" s="149"/>
      <c r="G24" s="506" t="s">
        <v>407</v>
      </c>
    </row>
    <row r="25" spans="1:26" x14ac:dyDescent="0.3">
      <c r="A25" s="505" t="str">
        <f t="shared" ca="1" si="0"/>
        <v>9. Budget</v>
      </c>
      <c r="B25" s="502"/>
      <c r="C25" s="83" t="s">
        <v>763</v>
      </c>
      <c r="D25" s="83" t="s">
        <v>763</v>
      </c>
      <c r="E25" s="83" t="s">
        <v>763</v>
      </c>
      <c r="F25" s="149"/>
      <c r="G25" s="506" t="s">
        <v>407</v>
      </c>
    </row>
    <row r="26" spans="1:26" x14ac:dyDescent="0.3">
      <c r="A26" s="505" t="str">
        <f t="shared" ca="1" si="0"/>
        <v>10. Controlling</v>
      </c>
      <c r="B26" s="502"/>
      <c r="C26" s="83" t="s">
        <v>765</v>
      </c>
      <c r="D26" s="83" t="s">
        <v>765</v>
      </c>
      <c r="E26" s="83" t="s">
        <v>765</v>
      </c>
      <c r="F26" s="149"/>
      <c r="G26" s="506" t="s">
        <v>407</v>
      </c>
    </row>
    <row r="27" spans="1:26" x14ac:dyDescent="0.3">
      <c r="A27" s="505" t="str">
        <f t="shared" ca="1" si="0"/>
        <v>Chiffres clé</v>
      </c>
      <c r="B27" s="502"/>
      <c r="C27" s="83" t="s">
        <v>78</v>
      </c>
      <c r="D27" s="83" t="s">
        <v>79</v>
      </c>
      <c r="E27" s="83" t="s">
        <v>572</v>
      </c>
      <c r="F27" s="149"/>
      <c r="G27" s="506" t="s">
        <v>407</v>
      </c>
    </row>
    <row r="28" spans="1:26" x14ac:dyDescent="0.3">
      <c r="A28" s="505" t="str">
        <f t="shared" ca="1" si="0"/>
        <v>Potentiel</v>
      </c>
      <c r="B28" s="502"/>
      <c r="C28" s="83" t="s">
        <v>133</v>
      </c>
      <c r="D28" s="83" t="s">
        <v>96</v>
      </c>
      <c r="E28" s="83" t="s">
        <v>592</v>
      </c>
      <c r="F28" s="149"/>
      <c r="G28" s="506" t="s">
        <v>407</v>
      </c>
    </row>
    <row r="29" spans="1:26" x14ac:dyDescent="0.3">
      <c r="A29" s="505" t="str">
        <f t="shared" ca="1" si="0"/>
        <v>Benchmark</v>
      </c>
      <c r="B29" s="502"/>
      <c r="C29" s="83" t="s">
        <v>255</v>
      </c>
      <c r="D29" s="83" t="s">
        <v>255</v>
      </c>
      <c r="E29" s="83" t="s">
        <v>255</v>
      </c>
      <c r="F29" s="149"/>
      <c r="G29" s="506" t="s">
        <v>407</v>
      </c>
    </row>
    <row r="30" spans="1:26" x14ac:dyDescent="0.3">
      <c r="A30" s="505" t="str">
        <f t="shared" ca="1" si="0"/>
        <v>Développer stratégies</v>
      </c>
      <c r="B30" s="502"/>
      <c r="C30" s="83" t="s">
        <v>81</v>
      </c>
      <c r="D30" s="83" t="s">
        <v>102</v>
      </c>
      <c r="E30" s="83" t="s">
        <v>593</v>
      </c>
      <c r="F30" s="149"/>
      <c r="G30" s="506" t="s">
        <v>407</v>
      </c>
    </row>
    <row r="31" spans="1:26" x14ac:dyDescent="0.3">
      <c r="A31" s="505" t="str">
        <f t="shared" ca="1" si="0"/>
        <v>Réalisation &amp; Controlling</v>
      </c>
      <c r="B31" s="502"/>
      <c r="C31" s="83" t="s">
        <v>251</v>
      </c>
      <c r="D31" s="83" t="s">
        <v>252</v>
      </c>
      <c r="E31" s="83" t="s">
        <v>585</v>
      </c>
      <c r="F31" s="149"/>
      <c r="G31" s="506" t="s">
        <v>407</v>
      </c>
    </row>
    <row r="32" spans="1:26" x14ac:dyDescent="0.3">
      <c r="A32" s="505" t="str">
        <f t="shared" ca="1" si="0"/>
        <v>Communication</v>
      </c>
      <c r="B32" s="502"/>
      <c r="C32" s="83" t="s">
        <v>401</v>
      </c>
      <c r="D32" s="83" t="s">
        <v>402</v>
      </c>
      <c r="E32" s="83" t="s">
        <v>402</v>
      </c>
      <c r="F32" s="149"/>
      <c r="G32" s="506" t="s">
        <v>407</v>
      </c>
    </row>
    <row r="33" spans="1:26" x14ac:dyDescent="0.3">
      <c r="A33" s="505" t="str">
        <f t="shared" ca="1" si="0"/>
        <v>3. SWOT</v>
      </c>
      <c r="B33" s="502"/>
      <c r="C33" s="83" t="s">
        <v>678</v>
      </c>
      <c r="D33" s="83" t="s">
        <v>678</v>
      </c>
      <c r="E33" s="83" t="s">
        <v>678</v>
      </c>
      <c r="F33" s="149"/>
      <c r="G33" s="506" t="s">
        <v>407</v>
      </c>
    </row>
    <row r="34" spans="1:26" x14ac:dyDescent="0.3">
      <c r="A34" s="505" t="str">
        <f t="shared" ca="1" si="0"/>
        <v>Comment atteindre nos objectifs ?</v>
      </c>
      <c r="B34" s="502"/>
      <c r="C34" s="149" t="s">
        <v>80</v>
      </c>
      <c r="D34" s="83" t="s">
        <v>99</v>
      </c>
      <c r="E34" s="83" t="s">
        <v>586</v>
      </c>
      <c r="F34" s="149"/>
      <c r="G34" s="506" t="s">
        <v>407</v>
      </c>
    </row>
    <row r="35" spans="1:26" x14ac:dyDescent="0.3">
      <c r="A35" s="505" t="str">
        <f t="shared" ca="1" si="0"/>
        <v>Public cible</v>
      </c>
      <c r="B35" s="502"/>
      <c r="C35" s="83" t="s">
        <v>388</v>
      </c>
      <c r="D35" s="83" t="s">
        <v>389</v>
      </c>
      <c r="E35" s="83" t="s">
        <v>594</v>
      </c>
      <c r="F35" s="149"/>
      <c r="G35" s="506" t="s">
        <v>407</v>
      </c>
    </row>
    <row r="36" spans="1:26" x14ac:dyDescent="0.3">
      <c r="A36" s="505" t="str">
        <f t="shared" ca="1" si="0"/>
        <v>Canaux de distribution</v>
      </c>
      <c r="B36" s="502"/>
      <c r="C36" s="83" t="s">
        <v>386</v>
      </c>
      <c r="D36" s="83" t="s">
        <v>140</v>
      </c>
      <c r="E36" s="83" t="s">
        <v>560</v>
      </c>
      <c r="F36" s="149"/>
      <c r="G36" s="506" t="s">
        <v>407</v>
      </c>
    </row>
    <row r="37" spans="1:26" x14ac:dyDescent="0.3">
      <c r="A37" s="505" t="str">
        <f t="shared" ca="1" si="0"/>
        <v>Comment réaliser ? Comment assurer le succès ?</v>
      </c>
      <c r="B37" s="502"/>
      <c r="C37" s="149" t="s">
        <v>82</v>
      </c>
      <c r="D37" s="83" t="s">
        <v>100</v>
      </c>
      <c r="E37" s="83" t="s">
        <v>595</v>
      </c>
      <c r="F37" s="149"/>
      <c r="G37" s="506" t="s">
        <v>407</v>
      </c>
    </row>
    <row r="38" spans="1:26" x14ac:dyDescent="0.3">
      <c r="A38" s="505" t="str">
        <f t="shared" ca="1" si="0"/>
        <v>Sources de revenus</v>
      </c>
      <c r="B38" s="502"/>
      <c r="C38" s="83" t="s">
        <v>656</v>
      </c>
      <c r="D38" s="83" t="s">
        <v>134</v>
      </c>
      <c r="E38" s="83" t="s">
        <v>599</v>
      </c>
      <c r="F38" s="149"/>
      <c r="G38" s="506" t="s">
        <v>407</v>
      </c>
    </row>
    <row r="39" spans="1:26" x14ac:dyDescent="0.3">
      <c r="A39" s="505" t="str">
        <f t="shared" ca="1" si="0"/>
        <v>Structure des coûts</v>
      </c>
      <c r="B39" s="502"/>
      <c r="C39" s="83" t="s">
        <v>657</v>
      </c>
      <c r="D39" s="83" t="s">
        <v>135</v>
      </c>
      <c r="E39" s="83" t="s">
        <v>600</v>
      </c>
      <c r="F39" s="149"/>
      <c r="G39" s="506" t="s">
        <v>407</v>
      </c>
    </row>
    <row r="40" spans="1:26" ht="28.8" x14ac:dyDescent="0.3">
      <c r="A40" s="505" t="str">
        <f t="shared" ca="1" si="0"/>
        <v>Plan des mesures</v>
      </c>
      <c r="B40" s="502"/>
      <c r="C40" s="83" t="s">
        <v>250</v>
      </c>
      <c r="D40" s="83" t="s">
        <v>101</v>
      </c>
      <c r="E40" s="83" t="s">
        <v>601</v>
      </c>
      <c r="F40" s="149"/>
      <c r="G40" s="506" t="s">
        <v>407</v>
      </c>
    </row>
    <row r="41" spans="1:26" x14ac:dyDescent="0.3">
      <c r="A41" s="505" t="str">
        <f t="shared" ca="1" si="0"/>
        <v>Relation client</v>
      </c>
      <c r="B41" s="502"/>
      <c r="C41" s="83" t="s">
        <v>248</v>
      </c>
      <c r="D41" s="83" t="s">
        <v>246</v>
      </c>
      <c r="E41" s="83" t="s">
        <v>596</v>
      </c>
      <c r="F41" s="149"/>
      <c r="G41" s="506" t="s">
        <v>407</v>
      </c>
    </row>
    <row r="42" spans="1:26" x14ac:dyDescent="0.3">
      <c r="A42" s="505" t="str">
        <f ca="1">OFFSET($C42,0,$Z$5-1)</f>
        <v>Budget</v>
      </c>
      <c r="B42" s="502"/>
      <c r="C42" s="83" t="s">
        <v>387</v>
      </c>
      <c r="D42" s="83" t="s">
        <v>387</v>
      </c>
      <c r="E42" s="83" t="s">
        <v>387</v>
      </c>
      <c r="F42" s="149"/>
      <c r="G42" s="506" t="s">
        <v>407</v>
      </c>
    </row>
    <row r="43" spans="1:26" x14ac:dyDescent="0.3">
      <c r="A43" s="505" t="str">
        <f t="shared" ca="1" si="0"/>
        <v>Plan marketing</v>
      </c>
      <c r="B43" s="502"/>
      <c r="C43" s="83" t="s">
        <v>655</v>
      </c>
      <c r="D43" s="83" t="s">
        <v>247</v>
      </c>
      <c r="E43" s="83" t="s">
        <v>597</v>
      </c>
      <c r="F43" s="486"/>
      <c r="G43" s="508"/>
    </row>
    <row r="44" spans="1:26" x14ac:dyDescent="0.3">
      <c r="A44" s="507" t="str">
        <f t="shared" ca="1" si="0"/>
        <v>Chaîne de valeur</v>
      </c>
      <c r="B44" s="502"/>
      <c r="C44" s="477" t="s">
        <v>385</v>
      </c>
      <c r="D44" s="477" t="s">
        <v>384</v>
      </c>
      <c r="E44" s="477" t="s">
        <v>598</v>
      </c>
      <c r="F44" s="486"/>
      <c r="G44" s="508" t="s">
        <v>407</v>
      </c>
    </row>
    <row r="45" spans="1:26" s="665" customFormat="1" ht="13.8" x14ac:dyDescent="0.3">
      <c r="A45" s="661" t="str">
        <f t="shared" ca="1" si="0"/>
        <v>Votre logo:</v>
      </c>
      <c r="B45" s="662"/>
      <c r="C45" s="663" t="s">
        <v>1013</v>
      </c>
      <c r="D45" s="663" t="s">
        <v>1014</v>
      </c>
      <c r="E45" s="663" t="s">
        <v>1015</v>
      </c>
      <c r="F45" s="663" t="s">
        <v>1016</v>
      </c>
      <c r="G45" s="664"/>
      <c r="I45" s="666"/>
      <c r="J45" s="2"/>
      <c r="K45" s="666"/>
      <c r="Z45" s="667"/>
    </row>
    <row r="46" spans="1:26" s="499" customFormat="1" x14ac:dyDescent="0.3">
      <c r="A46" s="509" t="str">
        <f t="shared" ca="1" si="0"/>
        <v>A N A L Y S E   D E S   P A R T I E S   P R E N A N T E S</v>
      </c>
      <c r="B46" s="497"/>
      <c r="C46" s="479" t="s">
        <v>138</v>
      </c>
      <c r="D46" s="479" t="s">
        <v>139</v>
      </c>
      <c r="E46" s="479" t="s">
        <v>451</v>
      </c>
      <c r="F46" s="479" t="s">
        <v>452</v>
      </c>
      <c r="G46" s="498" t="s">
        <v>407</v>
      </c>
      <c r="J46" s="490"/>
    </row>
    <row r="47" spans="1:26" x14ac:dyDescent="0.3">
      <c r="A47" s="501" t="str">
        <f t="shared" ca="1" si="0"/>
        <v>Contexte large</v>
      </c>
      <c r="B47" s="502"/>
      <c r="C47" s="485" t="s">
        <v>83</v>
      </c>
      <c r="D47" s="473" t="s">
        <v>103</v>
      </c>
      <c r="E47" s="475" t="s">
        <v>453</v>
      </c>
      <c r="F47" s="475" t="s">
        <v>454</v>
      </c>
      <c r="G47" s="503" t="s">
        <v>407</v>
      </c>
    </row>
    <row r="48" spans="1:26" x14ac:dyDescent="0.3">
      <c r="A48" s="505" t="str">
        <f t="shared" ca="1" si="0"/>
        <v>Contexte restreint</v>
      </c>
      <c r="B48" s="502"/>
      <c r="C48" s="149" t="s">
        <v>84</v>
      </c>
      <c r="D48" s="83" t="s">
        <v>104</v>
      </c>
      <c r="E48" s="50" t="s">
        <v>455</v>
      </c>
      <c r="F48" s="50" t="s">
        <v>456</v>
      </c>
      <c r="G48" s="506" t="s">
        <v>407</v>
      </c>
    </row>
    <row r="49" spans="1:7" x14ac:dyDescent="0.3">
      <c r="A49" s="505" t="str">
        <f t="shared" ca="1" si="0"/>
        <v>interne</v>
      </c>
      <c r="B49" s="502"/>
      <c r="C49" s="149" t="s">
        <v>72</v>
      </c>
      <c r="D49" s="83" t="s">
        <v>73</v>
      </c>
      <c r="E49" s="50" t="s">
        <v>457</v>
      </c>
      <c r="F49" s="50" t="s">
        <v>458</v>
      </c>
      <c r="G49" s="506" t="s">
        <v>407</v>
      </c>
    </row>
    <row r="50" spans="1:7" x14ac:dyDescent="0.3">
      <c r="A50" s="505" t="str">
        <f t="shared" ca="1" si="0"/>
        <v>Nous</v>
      </c>
      <c r="B50" s="502"/>
      <c r="C50" s="83" t="s">
        <v>51</v>
      </c>
      <c r="D50" s="83" t="s">
        <v>52</v>
      </c>
      <c r="E50" s="49" t="s">
        <v>459</v>
      </c>
      <c r="F50" s="49" t="s">
        <v>460</v>
      </c>
      <c r="G50" s="506" t="s">
        <v>407</v>
      </c>
    </row>
    <row r="51" spans="1:7" x14ac:dyDescent="0.3">
      <c r="A51" s="505" t="str">
        <f t="shared" ca="1" si="0"/>
        <v>contacts fréquents</v>
      </c>
      <c r="B51" s="502"/>
      <c r="C51" s="149" t="s">
        <v>22</v>
      </c>
      <c r="D51" s="83" t="s">
        <v>105</v>
      </c>
      <c r="E51" s="50" t="s">
        <v>461</v>
      </c>
      <c r="F51" s="50" t="s">
        <v>462</v>
      </c>
      <c r="G51" s="506" t="s">
        <v>407</v>
      </c>
    </row>
    <row r="52" spans="1:7" x14ac:dyDescent="0.3">
      <c r="A52" s="505" t="str">
        <f t="shared" ca="1" si="0"/>
        <v>contacts réguliers</v>
      </c>
      <c r="B52" s="502"/>
      <c r="C52" s="149" t="s">
        <v>3</v>
      </c>
      <c r="D52" s="83" t="s">
        <v>106</v>
      </c>
      <c r="E52" s="50" t="s">
        <v>463</v>
      </c>
      <c r="F52" s="50" t="s">
        <v>464</v>
      </c>
      <c r="G52" s="506" t="s">
        <v>407</v>
      </c>
    </row>
    <row r="53" spans="1:7" x14ac:dyDescent="0.3">
      <c r="A53" s="505" t="str">
        <f t="shared" ca="1" si="0"/>
        <v>contacts rares</v>
      </c>
      <c r="B53" s="502"/>
      <c r="C53" s="149" t="s">
        <v>23</v>
      </c>
      <c r="D53" s="149" t="s">
        <v>24</v>
      </c>
      <c r="E53" s="50" t="s">
        <v>465</v>
      </c>
      <c r="F53" s="50" t="s">
        <v>466</v>
      </c>
      <c r="G53" s="506" t="s">
        <v>407</v>
      </c>
    </row>
    <row r="54" spans="1:7" x14ac:dyDescent="0.3">
      <c r="A54" s="505" t="str">
        <f t="shared" ca="1" si="0"/>
        <v>grande</v>
      </c>
      <c r="B54" s="502"/>
      <c r="C54" s="83" t="s">
        <v>85</v>
      </c>
      <c r="D54" s="83" t="s">
        <v>108</v>
      </c>
      <c r="E54" s="49" t="s">
        <v>467</v>
      </c>
      <c r="F54" s="49" t="s">
        <v>468</v>
      </c>
      <c r="G54" s="506" t="s">
        <v>407</v>
      </c>
    </row>
    <row r="55" spans="1:7" x14ac:dyDescent="0.3">
      <c r="A55" s="505" t="str">
        <f t="shared" ca="1" si="0"/>
        <v>grand</v>
      </c>
      <c r="B55" s="502"/>
      <c r="C55" s="83" t="s">
        <v>141</v>
      </c>
      <c r="D55" s="83" t="s">
        <v>142</v>
      </c>
      <c r="E55" s="49" t="s">
        <v>469</v>
      </c>
      <c r="F55" s="49" t="s">
        <v>108</v>
      </c>
      <c r="G55" s="506" t="s">
        <v>407</v>
      </c>
    </row>
    <row r="56" spans="1:7" x14ac:dyDescent="0.3">
      <c r="A56" s="505" t="str">
        <f t="shared" ca="1" si="0"/>
        <v>Influence des parties prenantes</v>
      </c>
      <c r="B56" s="502"/>
      <c r="C56" s="83" t="s">
        <v>86</v>
      </c>
      <c r="D56" s="83" t="s">
        <v>107</v>
      </c>
      <c r="E56" s="49" t="s">
        <v>470</v>
      </c>
      <c r="F56" s="49" t="s">
        <v>471</v>
      </c>
      <c r="G56" s="506" t="s">
        <v>407</v>
      </c>
    </row>
    <row r="57" spans="1:7" x14ac:dyDescent="0.3">
      <c r="A57" s="505" t="str">
        <f t="shared" ca="1" si="0"/>
        <v>petite</v>
      </c>
      <c r="B57" s="502"/>
      <c r="C57" s="83" t="s">
        <v>87</v>
      </c>
      <c r="D57" s="83" t="s">
        <v>109</v>
      </c>
      <c r="E57" s="49" t="s">
        <v>472</v>
      </c>
      <c r="F57" s="49" t="s">
        <v>473</v>
      </c>
      <c r="G57" s="506" t="s">
        <v>407</v>
      </c>
    </row>
    <row r="58" spans="1:7" x14ac:dyDescent="0.3">
      <c r="A58" s="505" t="str">
        <f t="shared" ca="1" si="0"/>
        <v>petit</v>
      </c>
      <c r="B58" s="502"/>
      <c r="C58" s="83" t="s">
        <v>143</v>
      </c>
      <c r="D58" s="83" t="s">
        <v>144</v>
      </c>
      <c r="E58" s="49" t="s">
        <v>474</v>
      </c>
      <c r="F58" s="49" t="s">
        <v>475</v>
      </c>
      <c r="G58" s="506" t="s">
        <v>407</v>
      </c>
    </row>
    <row r="59" spans="1:7" x14ac:dyDescent="0.3">
      <c r="A59" s="505" t="str">
        <f t="shared" ca="1" si="0"/>
        <v>Intérêt des parties prenantes</v>
      </c>
      <c r="B59" s="502"/>
      <c r="C59" s="83" t="s">
        <v>647</v>
      </c>
      <c r="D59" s="83" t="s">
        <v>403</v>
      </c>
      <c r="E59" s="49" t="s">
        <v>476</v>
      </c>
      <c r="F59" s="49" t="s">
        <v>477</v>
      </c>
      <c r="G59" s="506" t="s">
        <v>407</v>
      </c>
    </row>
    <row r="60" spans="1:7" x14ac:dyDescent="0.3">
      <c r="A60" s="505" t="str">
        <f t="shared" ca="1" si="0"/>
        <v>No.</v>
      </c>
      <c r="B60" s="502"/>
      <c r="C60" s="83" t="s">
        <v>0</v>
      </c>
      <c r="D60" s="83" t="s">
        <v>21</v>
      </c>
      <c r="E60" s="49" t="s">
        <v>21</v>
      </c>
      <c r="F60" s="49" t="s">
        <v>478</v>
      </c>
      <c r="G60" s="506" t="s">
        <v>407</v>
      </c>
    </row>
    <row r="61" spans="1:7" x14ac:dyDescent="0.3">
      <c r="A61" s="505" t="str">
        <f t="shared" ca="1" si="0"/>
        <v>Groupe de parties prenantes</v>
      </c>
      <c r="B61" s="502"/>
      <c r="C61" s="83" t="s">
        <v>25</v>
      </c>
      <c r="D61" s="83" t="s">
        <v>110</v>
      </c>
      <c r="E61" s="49" t="s">
        <v>479</v>
      </c>
      <c r="F61" s="49" t="s">
        <v>480</v>
      </c>
      <c r="G61" s="506" t="s">
        <v>407</v>
      </c>
    </row>
    <row r="62" spans="1:7" x14ac:dyDescent="0.3">
      <c r="A62" s="505" t="str">
        <f t="shared" ca="1" si="0"/>
        <v>Intérêt, attentes</v>
      </c>
      <c r="B62" s="502"/>
      <c r="C62" s="83" t="s">
        <v>2</v>
      </c>
      <c r="D62" s="83" t="s">
        <v>111</v>
      </c>
      <c r="E62" s="49" t="s">
        <v>481</v>
      </c>
      <c r="F62" s="49" t="s">
        <v>482</v>
      </c>
      <c r="G62" s="506" t="s">
        <v>407</v>
      </c>
    </row>
    <row r="63" spans="1:7" x14ac:dyDescent="0.3">
      <c r="A63" s="505" t="str">
        <f t="shared" ca="1" si="0"/>
        <v>Etendue de l'intérêt</v>
      </c>
      <c r="B63" s="502"/>
      <c r="C63" s="83" t="s">
        <v>26</v>
      </c>
      <c r="D63" s="83" t="s">
        <v>112</v>
      </c>
      <c r="E63" s="49" t="s">
        <v>483</v>
      </c>
      <c r="F63" s="49" t="s">
        <v>484</v>
      </c>
      <c r="G63" s="506" t="s">
        <v>407</v>
      </c>
    </row>
    <row r="64" spans="1:7" x14ac:dyDescent="0.3">
      <c r="A64" s="505" t="str">
        <f t="shared" ca="1" si="0"/>
        <v>Etendue de l'influence</v>
      </c>
      <c r="B64" s="502"/>
      <c r="C64" s="83" t="s">
        <v>43</v>
      </c>
      <c r="D64" s="83" t="s">
        <v>113</v>
      </c>
      <c r="E64" s="49" t="s">
        <v>485</v>
      </c>
      <c r="F64" s="49" t="s">
        <v>486</v>
      </c>
      <c r="G64" s="506" t="s">
        <v>407</v>
      </c>
    </row>
    <row r="65" spans="1:10" ht="28.8" x14ac:dyDescent="0.3">
      <c r="A65" s="505" t="str">
        <f t="shared" ref="A65:A91" ca="1" si="1">OFFSET($C65,0,$Z$5-1)</f>
        <v>Chances (+) et 
Dangers (-)</v>
      </c>
      <c r="B65" s="502"/>
      <c r="C65" s="83" t="s">
        <v>46</v>
      </c>
      <c r="D65" s="83" t="s">
        <v>47</v>
      </c>
      <c r="E65" s="49" t="s">
        <v>487</v>
      </c>
      <c r="F65" s="49" t="s">
        <v>488</v>
      </c>
      <c r="G65" s="506" t="s">
        <v>407</v>
      </c>
    </row>
    <row r="66" spans="1:10" x14ac:dyDescent="0.3">
      <c r="A66" s="505" t="str">
        <f t="shared" ca="1" si="1"/>
        <v>Mesures possibles</v>
      </c>
      <c r="B66" s="502"/>
      <c r="C66" s="83" t="s">
        <v>9</v>
      </c>
      <c r="D66" s="83" t="s">
        <v>27</v>
      </c>
      <c r="E66" s="49" t="s">
        <v>489</v>
      </c>
      <c r="F66" s="49" t="s">
        <v>490</v>
      </c>
      <c r="G66" s="506" t="s">
        <v>407</v>
      </c>
    </row>
    <row r="67" spans="1:10" x14ac:dyDescent="0.3">
      <c r="A67" s="505" t="str">
        <f t="shared" ca="1" si="1"/>
        <v>Statut</v>
      </c>
      <c r="B67" s="502"/>
      <c r="C67" s="83" t="s">
        <v>1</v>
      </c>
      <c r="D67" s="83" t="s">
        <v>28</v>
      </c>
      <c r="E67" s="49" t="s">
        <v>1</v>
      </c>
      <c r="F67" s="49" t="s">
        <v>491</v>
      </c>
      <c r="G67" s="506" t="s">
        <v>407</v>
      </c>
    </row>
    <row r="68" spans="1:10" x14ac:dyDescent="0.3">
      <c r="A68" s="505" t="str">
        <f t="shared" ca="1" si="1"/>
        <v>Taille du groupe</v>
      </c>
      <c r="B68" s="502"/>
      <c r="C68" s="83" t="s">
        <v>44</v>
      </c>
      <c r="D68" s="83" t="s">
        <v>45</v>
      </c>
      <c r="E68" s="49" t="s">
        <v>492</v>
      </c>
      <c r="F68" s="49" t="s">
        <v>493</v>
      </c>
      <c r="G68" s="506" t="s">
        <v>407</v>
      </c>
    </row>
    <row r="69" spans="1:10" x14ac:dyDescent="0.3">
      <c r="A69" s="505" t="str">
        <f t="shared" ca="1" si="1"/>
        <v>A N A L Y S E   D E S   P A R T I E S   P R E N A N T E S</v>
      </c>
      <c r="B69" s="502"/>
      <c r="C69" s="83" t="s">
        <v>138</v>
      </c>
      <c r="D69" s="83" t="s">
        <v>139</v>
      </c>
      <c r="E69" s="49" t="s">
        <v>451</v>
      </c>
      <c r="F69" s="49" t="s">
        <v>494</v>
      </c>
      <c r="G69" s="506" t="s">
        <v>407</v>
      </c>
    </row>
    <row r="70" spans="1:10" x14ac:dyDescent="0.3">
      <c r="A70" s="505" t="str">
        <f t="shared" ca="1" si="1"/>
        <v>Maintenir satisfait</v>
      </c>
      <c r="B70" s="502"/>
      <c r="C70" s="49" t="s">
        <v>432</v>
      </c>
      <c r="D70" s="49" t="s">
        <v>433</v>
      </c>
      <c r="E70" s="49" t="s">
        <v>434</v>
      </c>
      <c r="F70" s="49" t="s">
        <v>435</v>
      </c>
      <c r="G70" s="506"/>
    </row>
    <row r="71" spans="1:10" x14ac:dyDescent="0.3">
      <c r="A71" s="505" t="str">
        <f t="shared" ca="1" si="1"/>
        <v>Surveiller</v>
      </c>
      <c r="B71" s="502"/>
      <c r="C71" s="49" t="s">
        <v>436</v>
      </c>
      <c r="D71" s="49" t="s">
        <v>437</v>
      </c>
      <c r="E71" s="49" t="s">
        <v>438</v>
      </c>
      <c r="F71" s="49" t="s">
        <v>439</v>
      </c>
      <c r="G71" s="506"/>
    </row>
    <row r="72" spans="1:10" x14ac:dyDescent="0.3">
      <c r="A72" s="505" t="str">
        <f t="shared" ca="1" si="1"/>
        <v>Tenir informé</v>
      </c>
      <c r="B72" s="502"/>
      <c r="C72" s="49" t="s">
        <v>440</v>
      </c>
      <c r="D72" s="49" t="s">
        <v>441</v>
      </c>
      <c r="E72" s="49" t="s">
        <v>442</v>
      </c>
      <c r="F72" s="49" t="s">
        <v>443</v>
      </c>
      <c r="G72" s="506"/>
    </row>
    <row r="73" spans="1:10" x14ac:dyDescent="0.3">
      <c r="A73" s="507" t="str">
        <f t="shared" ca="1" si="1"/>
        <v>Suivre de près</v>
      </c>
      <c r="B73" s="502"/>
      <c r="C73" s="478" t="s">
        <v>444</v>
      </c>
      <c r="D73" s="478" t="s">
        <v>445</v>
      </c>
      <c r="E73" s="478" t="s">
        <v>446</v>
      </c>
      <c r="F73" s="478" t="s">
        <v>447</v>
      </c>
      <c r="G73" s="508"/>
    </row>
    <row r="74" spans="1:10" s="499" customFormat="1" x14ac:dyDescent="0.3">
      <c r="A74" s="509" t="str">
        <f t="shared" ca="1" si="1"/>
        <v>A N A L Y S E   P E S T E L</v>
      </c>
      <c r="B74" s="497"/>
      <c r="C74" s="479" t="s">
        <v>145</v>
      </c>
      <c r="D74" s="479" t="s">
        <v>146</v>
      </c>
      <c r="E74" s="479" t="s">
        <v>495</v>
      </c>
      <c r="F74" s="479" t="s">
        <v>496</v>
      </c>
      <c r="G74" s="498" t="s">
        <v>407</v>
      </c>
      <c r="J74" s="490"/>
    </row>
    <row r="75" spans="1:10" x14ac:dyDescent="0.3">
      <c r="A75" s="501" t="str">
        <f t="shared" ca="1" si="1"/>
        <v>Facteurs d'influence politique</v>
      </c>
      <c r="B75" s="502"/>
      <c r="C75" s="473" t="s">
        <v>12</v>
      </c>
      <c r="D75" s="473" t="s">
        <v>114</v>
      </c>
      <c r="E75" s="474" t="s">
        <v>497</v>
      </c>
      <c r="F75" s="474" t="s">
        <v>498</v>
      </c>
      <c r="G75" s="503" t="s">
        <v>407</v>
      </c>
    </row>
    <row r="76" spans="1:10" x14ac:dyDescent="0.3">
      <c r="A76" s="505" t="str">
        <f t="shared" ca="1" si="1"/>
        <v>No.</v>
      </c>
      <c r="B76" s="502"/>
      <c r="C76" s="83" t="s">
        <v>0</v>
      </c>
      <c r="D76" s="83" t="s">
        <v>21</v>
      </c>
      <c r="E76" s="49" t="s">
        <v>21</v>
      </c>
      <c r="F76" s="49" t="s">
        <v>478</v>
      </c>
      <c r="G76" s="506" t="s">
        <v>407</v>
      </c>
    </row>
    <row r="77" spans="1:10" x14ac:dyDescent="0.3">
      <c r="A77" s="505" t="str">
        <f t="shared" ca="1" si="1"/>
        <v>Facteurs d'influence</v>
      </c>
      <c r="B77" s="502"/>
      <c r="C77" s="83" t="s">
        <v>13</v>
      </c>
      <c r="D77" s="83" t="s">
        <v>29</v>
      </c>
      <c r="E77" s="49" t="s">
        <v>499</v>
      </c>
      <c r="F77" s="49" t="s">
        <v>500</v>
      </c>
      <c r="G77" s="506" t="s">
        <v>407</v>
      </c>
    </row>
    <row r="78" spans="1:10" x14ac:dyDescent="0.3">
      <c r="A78" s="505" t="str">
        <f t="shared" ca="1" si="1"/>
        <v>Impact</v>
      </c>
      <c r="B78" s="502"/>
      <c r="C78" s="83" t="s">
        <v>4</v>
      </c>
      <c r="D78" s="83" t="s">
        <v>30</v>
      </c>
      <c r="E78" s="49" t="s">
        <v>501</v>
      </c>
      <c r="F78" s="49" t="s">
        <v>502</v>
      </c>
      <c r="G78" s="506" t="s">
        <v>407</v>
      </c>
    </row>
    <row r="79" spans="1:10" x14ac:dyDescent="0.3">
      <c r="A79" s="505" t="str">
        <f t="shared" ca="1" si="1"/>
        <v>Intensité de l'impact</v>
      </c>
      <c r="B79" s="502"/>
      <c r="C79" s="83" t="s">
        <v>430</v>
      </c>
      <c r="D79" s="83" t="s">
        <v>115</v>
      </c>
      <c r="E79" s="49" t="s">
        <v>503</v>
      </c>
      <c r="F79" s="49" t="s">
        <v>504</v>
      </c>
      <c r="G79" s="506" t="s">
        <v>407</v>
      </c>
    </row>
    <row r="80" spans="1:10" ht="28.8" x14ac:dyDescent="0.3">
      <c r="A80" s="505" t="str">
        <f t="shared" ca="1" si="1"/>
        <v>Ten-
dance</v>
      </c>
      <c r="B80" s="502"/>
      <c r="C80" s="83" t="s">
        <v>5</v>
      </c>
      <c r="D80" s="83" t="s">
        <v>121</v>
      </c>
      <c r="E80" s="49" t="s">
        <v>5</v>
      </c>
      <c r="F80" s="49" t="s">
        <v>505</v>
      </c>
      <c r="G80" s="506" t="s">
        <v>407</v>
      </c>
    </row>
    <row r="81" spans="1:10" x14ac:dyDescent="0.3">
      <c r="A81" s="505" t="str">
        <f t="shared" ca="1" si="1"/>
        <v>Mesures possibles</v>
      </c>
      <c r="B81" s="502"/>
      <c r="C81" s="83" t="s">
        <v>9</v>
      </c>
      <c r="D81" s="83" t="s">
        <v>27</v>
      </c>
      <c r="E81" s="49" t="s">
        <v>489</v>
      </c>
      <c r="F81" s="49" t="s">
        <v>490</v>
      </c>
      <c r="G81" s="506" t="s">
        <v>407</v>
      </c>
    </row>
    <row r="82" spans="1:10" x14ac:dyDescent="0.3">
      <c r="A82" s="505" t="str">
        <f t="shared" ca="1" si="1"/>
        <v>Statut</v>
      </c>
      <c r="B82" s="502"/>
      <c r="C82" s="83" t="s">
        <v>1</v>
      </c>
      <c r="D82" s="83" t="s">
        <v>28</v>
      </c>
      <c r="E82" s="49" t="s">
        <v>1</v>
      </c>
      <c r="F82" s="49" t="s">
        <v>491</v>
      </c>
      <c r="G82" s="506" t="s">
        <v>407</v>
      </c>
    </row>
    <row r="83" spans="1:10" x14ac:dyDescent="0.3">
      <c r="A83" s="505" t="str">
        <f t="shared" ca="1" si="1"/>
        <v>Facteurs d'influence économique</v>
      </c>
      <c r="B83" s="502"/>
      <c r="C83" s="510" t="s">
        <v>14</v>
      </c>
      <c r="D83" s="83" t="s">
        <v>116</v>
      </c>
      <c r="E83" s="49" t="s">
        <v>506</v>
      </c>
      <c r="F83" s="49" t="s">
        <v>507</v>
      </c>
      <c r="G83" s="506" t="s">
        <v>407</v>
      </c>
    </row>
    <row r="84" spans="1:10" x14ac:dyDescent="0.3">
      <c r="A84" s="505" t="str">
        <f t="shared" ca="1" si="1"/>
        <v>Facteurs d'influence sociologique</v>
      </c>
      <c r="B84" s="502"/>
      <c r="C84" s="510" t="s">
        <v>15</v>
      </c>
      <c r="D84" s="83" t="s">
        <v>117</v>
      </c>
      <c r="E84" s="49" t="s">
        <v>508</v>
      </c>
      <c r="F84" s="49" t="s">
        <v>509</v>
      </c>
      <c r="G84" s="506" t="s">
        <v>407</v>
      </c>
    </row>
    <row r="85" spans="1:10" x14ac:dyDescent="0.3">
      <c r="A85" s="505" t="str">
        <f t="shared" ca="1" si="1"/>
        <v>Facteurs d'influence technologique</v>
      </c>
      <c r="B85" s="502"/>
      <c r="C85" s="510" t="s">
        <v>16</v>
      </c>
      <c r="D85" s="83" t="s">
        <v>118</v>
      </c>
      <c r="E85" s="49" t="s">
        <v>510</v>
      </c>
      <c r="F85" s="49" t="s">
        <v>511</v>
      </c>
      <c r="G85" s="506" t="s">
        <v>407</v>
      </c>
    </row>
    <row r="86" spans="1:10" x14ac:dyDescent="0.3">
      <c r="A86" s="505" t="str">
        <f t="shared" ca="1" si="1"/>
        <v>Facteurs d'influence écologique</v>
      </c>
      <c r="B86" s="502"/>
      <c r="C86" s="510" t="s">
        <v>18</v>
      </c>
      <c r="D86" s="83" t="s">
        <v>119</v>
      </c>
      <c r="E86" s="49" t="s">
        <v>512</v>
      </c>
      <c r="F86" s="49" t="s">
        <v>513</v>
      </c>
      <c r="G86" s="506" t="s">
        <v>407</v>
      </c>
    </row>
    <row r="87" spans="1:10" x14ac:dyDescent="0.3">
      <c r="A87" s="505" t="str">
        <f t="shared" ca="1" si="1"/>
        <v>Facteurs d'influence législative</v>
      </c>
      <c r="B87" s="502"/>
      <c r="C87" s="510" t="s">
        <v>17</v>
      </c>
      <c r="D87" s="83" t="s">
        <v>120</v>
      </c>
      <c r="E87" s="49" t="s">
        <v>514</v>
      </c>
      <c r="F87" s="49" t="s">
        <v>515</v>
      </c>
      <c r="G87" s="506" t="s">
        <v>407</v>
      </c>
    </row>
    <row r="88" spans="1:10" x14ac:dyDescent="0.3">
      <c r="A88" s="505" t="str">
        <f t="shared" ca="1" si="1"/>
        <v>Maintenir satisfait</v>
      </c>
      <c r="C88" s="49" t="s">
        <v>432</v>
      </c>
      <c r="D88" s="49" t="s">
        <v>433</v>
      </c>
      <c r="E88" s="49" t="s">
        <v>434</v>
      </c>
      <c r="F88" s="49" t="s">
        <v>435</v>
      </c>
      <c r="G88" s="506"/>
    </row>
    <row r="89" spans="1:10" x14ac:dyDescent="0.3">
      <c r="A89" s="505" t="str">
        <f t="shared" ca="1" si="1"/>
        <v>Surveiller</v>
      </c>
      <c r="C89" s="49" t="s">
        <v>436</v>
      </c>
      <c r="D89" s="49" t="s">
        <v>437</v>
      </c>
      <c r="E89" s="49" t="s">
        <v>438</v>
      </c>
      <c r="F89" s="49" t="s">
        <v>439</v>
      </c>
      <c r="G89" s="506"/>
    </row>
    <row r="90" spans="1:10" x14ac:dyDescent="0.3">
      <c r="A90" s="505" t="str">
        <f t="shared" ca="1" si="1"/>
        <v>Tenir informé</v>
      </c>
      <c r="C90" s="49" t="s">
        <v>440</v>
      </c>
      <c r="D90" s="49" t="s">
        <v>441</v>
      </c>
      <c r="E90" s="49" t="s">
        <v>442</v>
      </c>
      <c r="F90" s="49" t="s">
        <v>443</v>
      </c>
      <c r="G90" s="506"/>
    </row>
    <row r="91" spans="1:10" x14ac:dyDescent="0.3">
      <c r="A91" s="507" t="str">
        <f t="shared" ca="1" si="1"/>
        <v>Suivre de près</v>
      </c>
      <c r="C91" s="478" t="s">
        <v>444</v>
      </c>
      <c r="D91" s="478" t="s">
        <v>445</v>
      </c>
      <c r="E91" s="478" t="s">
        <v>446</v>
      </c>
      <c r="F91" s="478" t="s">
        <v>447</v>
      </c>
      <c r="G91" s="508"/>
    </row>
    <row r="92" spans="1:10" s="499" customFormat="1" x14ac:dyDescent="0.3">
      <c r="A92" s="509" t="str">
        <f t="shared" ref="A92:A118" ca="1" si="2">OFFSET($C92,0,$Z$5-1)</f>
        <v>R I S Q U E S   C O M M U N I C A T I O N</v>
      </c>
      <c r="B92" s="497"/>
      <c r="C92" s="479" t="s">
        <v>976</v>
      </c>
      <c r="D92" s="479" t="s">
        <v>977</v>
      </c>
      <c r="E92" s="479" t="s">
        <v>978</v>
      </c>
      <c r="F92" s="479" t="s">
        <v>979</v>
      </c>
      <c r="G92" s="498" t="s">
        <v>407</v>
      </c>
      <c r="J92" s="490"/>
    </row>
    <row r="93" spans="1:10" x14ac:dyDescent="0.3">
      <c r="A93" s="501" t="str">
        <f t="shared" ca="1" si="2"/>
        <v>Probabilité d'occurrence</v>
      </c>
      <c r="B93" s="502"/>
      <c r="C93" s="473" t="s">
        <v>675</v>
      </c>
      <c r="D93" s="485" t="s">
        <v>42</v>
      </c>
      <c r="E93" s="475" t="s">
        <v>521</v>
      </c>
      <c r="F93" s="475" t="s">
        <v>522</v>
      </c>
      <c r="G93" s="503" t="s">
        <v>407</v>
      </c>
    </row>
    <row r="94" spans="1:10" x14ac:dyDescent="0.3">
      <c r="A94" s="505" t="str">
        <f t="shared" ca="1" si="2"/>
        <v>élevée</v>
      </c>
      <c r="B94" s="502"/>
      <c r="C94" s="149" t="s">
        <v>85</v>
      </c>
      <c r="D94" s="149" t="s">
        <v>122</v>
      </c>
      <c r="E94" s="50" t="s">
        <v>467</v>
      </c>
      <c r="F94" s="50" t="s">
        <v>523</v>
      </c>
      <c r="G94" s="506" t="s">
        <v>407</v>
      </c>
    </row>
    <row r="95" spans="1:10" x14ac:dyDescent="0.3">
      <c r="A95" s="505" t="str">
        <f t="shared" ca="1" si="2"/>
        <v>moyenne</v>
      </c>
      <c r="B95" s="502"/>
      <c r="C95" s="149" t="s">
        <v>20</v>
      </c>
      <c r="D95" s="149" t="s">
        <v>123</v>
      </c>
      <c r="E95" s="50" t="s">
        <v>524</v>
      </c>
      <c r="F95" s="50" t="s">
        <v>525</v>
      </c>
      <c r="G95" s="506" t="s">
        <v>407</v>
      </c>
    </row>
    <row r="96" spans="1:10" x14ac:dyDescent="0.3">
      <c r="A96" s="505" t="str">
        <f t="shared" ca="1" si="2"/>
        <v>faible</v>
      </c>
      <c r="B96" s="502"/>
      <c r="C96" s="149" t="s">
        <v>87</v>
      </c>
      <c r="D96" s="149" t="s">
        <v>92</v>
      </c>
      <c r="E96" s="50" t="s">
        <v>472</v>
      </c>
      <c r="F96" s="50" t="s">
        <v>526</v>
      </c>
      <c r="G96" s="506" t="s">
        <v>407</v>
      </c>
    </row>
    <row r="97" spans="1:10" x14ac:dyDescent="0.3">
      <c r="A97" s="505" t="str">
        <f t="shared" ca="1" si="2"/>
        <v>Étendue des dégâts</v>
      </c>
      <c r="B97" s="502"/>
      <c r="C97" s="149" t="s">
        <v>88</v>
      </c>
      <c r="D97" s="149" t="s">
        <v>93</v>
      </c>
      <c r="E97" s="50" t="s">
        <v>527</v>
      </c>
      <c r="F97" s="50" t="s">
        <v>528</v>
      </c>
      <c r="G97" s="506" t="s">
        <v>407</v>
      </c>
    </row>
    <row r="98" spans="1:10" x14ac:dyDescent="0.3">
      <c r="A98" s="505" t="str">
        <f t="shared" ca="1" si="2"/>
        <v>Aucune action nécessaire</v>
      </c>
      <c r="B98" s="502"/>
      <c r="C98" s="149" t="s">
        <v>89</v>
      </c>
      <c r="D98" s="83" t="s">
        <v>124</v>
      </c>
      <c r="E98" s="50" t="s">
        <v>529</v>
      </c>
      <c r="F98" s="50" t="s">
        <v>530</v>
      </c>
      <c r="G98" s="506" t="s">
        <v>407</v>
      </c>
    </row>
    <row r="99" spans="1:10" x14ac:dyDescent="0.3">
      <c r="A99" s="505" t="str">
        <f t="shared" ca="1" si="2"/>
        <v>Action nécessaire</v>
      </c>
      <c r="B99" s="502"/>
      <c r="C99" s="149" t="s">
        <v>90</v>
      </c>
      <c r="D99" s="83" t="s">
        <v>125</v>
      </c>
      <c r="E99" s="50" t="s">
        <v>531</v>
      </c>
      <c r="F99" s="50" t="s">
        <v>532</v>
      </c>
      <c r="G99" s="506" t="s">
        <v>407</v>
      </c>
    </row>
    <row r="100" spans="1:10" x14ac:dyDescent="0.3">
      <c r="A100" s="505" t="str">
        <f t="shared" ca="1" si="2"/>
        <v>Action urgente</v>
      </c>
      <c r="B100" s="502"/>
      <c r="C100" s="149" t="s">
        <v>91</v>
      </c>
      <c r="D100" s="149" t="s">
        <v>94</v>
      </c>
      <c r="E100" s="50" t="s">
        <v>533</v>
      </c>
      <c r="F100" s="50" t="s">
        <v>534</v>
      </c>
      <c r="G100" s="506" t="s">
        <v>407</v>
      </c>
    </row>
    <row r="101" spans="1:10" x14ac:dyDescent="0.3">
      <c r="A101" s="505" t="str">
        <f t="shared" ca="1" si="2"/>
        <v>No.</v>
      </c>
      <c r="B101" s="502"/>
      <c r="C101" s="149" t="s">
        <v>0</v>
      </c>
      <c r="D101" s="149" t="s">
        <v>21</v>
      </c>
      <c r="E101" s="50" t="s">
        <v>21</v>
      </c>
      <c r="F101" s="50" t="s">
        <v>478</v>
      </c>
      <c r="G101" s="506" t="s">
        <v>407</v>
      </c>
    </row>
    <row r="102" spans="1:10" x14ac:dyDescent="0.3">
      <c r="A102" s="505" t="str">
        <f t="shared" ca="1" si="2"/>
        <v>Risque</v>
      </c>
      <c r="B102" s="502"/>
      <c r="C102" s="149" t="s">
        <v>10</v>
      </c>
      <c r="D102" s="149" t="s">
        <v>33</v>
      </c>
      <c r="E102" s="50" t="s">
        <v>535</v>
      </c>
      <c r="F102" s="50" t="s">
        <v>536</v>
      </c>
      <c r="G102" s="506" t="s">
        <v>407</v>
      </c>
    </row>
    <row r="103" spans="1:10" x14ac:dyDescent="0.3">
      <c r="A103" s="505" t="str">
        <f t="shared" ca="1" si="2"/>
        <v>Impact</v>
      </c>
      <c r="B103" s="502"/>
      <c r="C103" s="149" t="s">
        <v>4</v>
      </c>
      <c r="D103" s="149" t="s">
        <v>30</v>
      </c>
      <c r="E103" s="50" t="s">
        <v>501</v>
      </c>
      <c r="F103" s="50" t="s">
        <v>502</v>
      </c>
      <c r="G103" s="506" t="s">
        <v>407</v>
      </c>
    </row>
    <row r="104" spans="1:10" x14ac:dyDescent="0.3">
      <c r="A104" s="505" t="str">
        <f t="shared" ca="1" si="2"/>
        <v>Probabilité d'occurrence</v>
      </c>
      <c r="B104" s="502"/>
      <c r="C104" s="83" t="s">
        <v>167</v>
      </c>
      <c r="D104" s="149" t="s">
        <v>42</v>
      </c>
      <c r="E104" s="49" t="s">
        <v>521</v>
      </c>
      <c r="F104" s="49" t="s">
        <v>522</v>
      </c>
      <c r="G104" s="506" t="s">
        <v>407</v>
      </c>
    </row>
    <row r="105" spans="1:10" x14ac:dyDescent="0.3">
      <c r="A105" s="505" t="str">
        <f t="shared" ca="1" si="2"/>
        <v>Étendue des dommages</v>
      </c>
      <c r="B105" s="502"/>
      <c r="C105" s="149" t="s">
        <v>41</v>
      </c>
      <c r="D105" s="149" t="s">
        <v>34</v>
      </c>
      <c r="E105" s="50" t="s">
        <v>527</v>
      </c>
      <c r="F105" s="50" t="s">
        <v>528</v>
      </c>
      <c r="G105" s="506" t="s">
        <v>407</v>
      </c>
    </row>
    <row r="106" spans="1:10" ht="28.8" x14ac:dyDescent="0.3">
      <c r="A106" s="505" t="str">
        <f t="shared" ca="1" si="2"/>
        <v>Ten-
dance</v>
      </c>
      <c r="B106" s="502"/>
      <c r="C106" s="149" t="s">
        <v>5</v>
      </c>
      <c r="D106" s="83" t="s">
        <v>121</v>
      </c>
      <c r="E106" s="50" t="s">
        <v>5</v>
      </c>
      <c r="F106" s="50" t="s">
        <v>505</v>
      </c>
      <c r="G106" s="506" t="s">
        <v>407</v>
      </c>
    </row>
    <row r="107" spans="1:10" x14ac:dyDescent="0.3">
      <c r="A107" s="505" t="str">
        <f t="shared" ca="1" si="2"/>
        <v>Mesures possibles</v>
      </c>
      <c r="B107" s="502"/>
      <c r="C107" s="149" t="s">
        <v>9</v>
      </c>
      <c r="D107" s="149" t="s">
        <v>27</v>
      </c>
      <c r="E107" s="50" t="s">
        <v>489</v>
      </c>
      <c r="F107" s="50" t="s">
        <v>490</v>
      </c>
      <c r="G107" s="506" t="s">
        <v>407</v>
      </c>
    </row>
    <row r="108" spans="1:10" x14ac:dyDescent="0.3">
      <c r="A108" s="505" t="str">
        <f t="shared" ca="1" si="2"/>
        <v>Statut</v>
      </c>
      <c r="B108" s="502"/>
      <c r="C108" s="149" t="s">
        <v>1</v>
      </c>
      <c r="D108" s="149" t="s">
        <v>28</v>
      </c>
      <c r="E108" s="50" t="s">
        <v>1</v>
      </c>
      <c r="F108" s="50" t="s">
        <v>491</v>
      </c>
      <c r="G108" s="506" t="s">
        <v>407</v>
      </c>
    </row>
    <row r="109" spans="1:10" x14ac:dyDescent="0.3">
      <c r="A109" s="507" t="str">
        <f t="shared" ca="1" si="2"/>
        <v>Étendue de l'impact</v>
      </c>
      <c r="B109" s="502"/>
      <c r="C109" s="477" t="s">
        <v>166</v>
      </c>
      <c r="D109" s="477" t="s">
        <v>165</v>
      </c>
      <c r="E109" s="478" t="s">
        <v>537</v>
      </c>
      <c r="F109" s="478" t="s">
        <v>538</v>
      </c>
      <c r="G109" s="508" t="s">
        <v>407</v>
      </c>
    </row>
    <row r="110" spans="1:10" s="499" customFormat="1" x14ac:dyDescent="0.3">
      <c r="A110" s="509" t="str">
        <f t="shared" ca="1" si="2"/>
        <v>B E N C H M A R K I N G   C O M M U N I C A T I O N</v>
      </c>
      <c r="B110" s="497"/>
      <c r="C110" s="479" t="s">
        <v>874</v>
      </c>
      <c r="D110" s="479" t="s">
        <v>871</v>
      </c>
      <c r="E110" s="479" t="s">
        <v>872</v>
      </c>
      <c r="F110" s="479" t="s">
        <v>873</v>
      </c>
      <c r="G110" s="498" t="s">
        <v>407</v>
      </c>
      <c r="J110" s="490"/>
    </row>
    <row r="111" spans="1:10" x14ac:dyDescent="0.3">
      <c r="A111" s="501" t="str">
        <f t="shared" ca="1" si="2"/>
        <v>Statut</v>
      </c>
      <c r="B111" s="502"/>
      <c r="C111" s="473" t="s">
        <v>1</v>
      </c>
      <c r="D111" s="473" t="s">
        <v>28</v>
      </c>
      <c r="E111" s="474" t="s">
        <v>1</v>
      </c>
      <c r="F111" s="474" t="s">
        <v>491</v>
      </c>
      <c r="G111" s="503" t="s">
        <v>407</v>
      </c>
    </row>
    <row r="112" spans="1:10" x14ac:dyDescent="0.3">
      <c r="A112" s="505" t="str">
        <f t="shared" ca="1" si="2"/>
        <v>No.</v>
      </c>
      <c r="B112" s="502"/>
      <c r="C112" s="149" t="s">
        <v>0</v>
      </c>
      <c r="D112" s="149" t="s">
        <v>21</v>
      </c>
      <c r="E112" s="50" t="s">
        <v>21</v>
      </c>
      <c r="F112" s="50" t="s">
        <v>478</v>
      </c>
      <c r="G112" s="506" t="s">
        <v>407</v>
      </c>
    </row>
    <row r="113" spans="1:10" x14ac:dyDescent="0.3">
      <c r="A113" s="505" t="str">
        <f t="shared" ca="1" si="2"/>
        <v>Objets de comparaison</v>
      </c>
      <c r="B113" s="502"/>
      <c r="C113" s="149" t="s">
        <v>50</v>
      </c>
      <c r="D113" s="83" t="s">
        <v>126</v>
      </c>
      <c r="E113" s="50" t="s">
        <v>539</v>
      </c>
      <c r="F113" s="50" t="s">
        <v>540</v>
      </c>
      <c r="G113" s="506" t="s">
        <v>407</v>
      </c>
    </row>
    <row r="114" spans="1:10" x14ac:dyDescent="0.3">
      <c r="A114" s="505" t="str">
        <f t="shared" ca="1" si="2"/>
        <v>Propositions d'amélioration</v>
      </c>
      <c r="B114" s="502"/>
      <c r="C114" s="83" t="s">
        <v>147</v>
      </c>
      <c r="D114" s="83" t="s">
        <v>148</v>
      </c>
      <c r="E114" s="49" t="s">
        <v>518</v>
      </c>
      <c r="F114" s="49" t="s">
        <v>517</v>
      </c>
      <c r="G114" s="506" t="s">
        <v>407</v>
      </c>
    </row>
    <row r="115" spans="1:10" x14ac:dyDescent="0.3">
      <c r="A115" s="505" t="str">
        <f t="shared" ca="1" si="2"/>
        <v>Nous</v>
      </c>
      <c r="B115" s="502"/>
      <c r="C115" s="149" t="s">
        <v>51</v>
      </c>
      <c r="D115" s="149" t="s">
        <v>52</v>
      </c>
      <c r="E115" s="50" t="s">
        <v>459</v>
      </c>
      <c r="F115" s="50" t="s">
        <v>460</v>
      </c>
      <c r="G115" s="506" t="s">
        <v>407</v>
      </c>
    </row>
    <row r="116" spans="1:10" x14ac:dyDescent="0.3">
      <c r="A116" s="507" t="str">
        <f t="shared" ca="1" si="2"/>
        <v>Concurrence</v>
      </c>
      <c r="B116" s="502"/>
      <c r="C116" s="486" t="s">
        <v>48</v>
      </c>
      <c r="D116" s="486" t="s">
        <v>49</v>
      </c>
      <c r="E116" s="476" t="s">
        <v>519</v>
      </c>
      <c r="F116" s="476" t="s">
        <v>520</v>
      </c>
      <c r="G116" s="508" t="s">
        <v>407</v>
      </c>
    </row>
    <row r="117" spans="1:10" x14ac:dyDescent="0.3">
      <c r="A117" s="507" t="str">
        <f t="shared" ca="1" si="2"/>
        <v>différence:</v>
      </c>
      <c r="B117" s="502"/>
      <c r="C117" s="477" t="s">
        <v>659</v>
      </c>
      <c r="D117" s="477" t="s">
        <v>660</v>
      </c>
      <c r="E117" s="478" t="s">
        <v>661</v>
      </c>
      <c r="F117" s="478" t="s">
        <v>662</v>
      </c>
      <c r="G117" s="508"/>
    </row>
    <row r="118" spans="1:10" x14ac:dyDescent="0.3">
      <c r="A118" s="507" t="str">
        <f t="shared" ca="1" si="2"/>
        <v>≥ 1</v>
      </c>
      <c r="B118" s="502"/>
      <c r="C118" s="522" t="s">
        <v>658</v>
      </c>
      <c r="D118" s="522" t="s">
        <v>658</v>
      </c>
      <c r="E118" s="522" t="s">
        <v>658</v>
      </c>
      <c r="F118" s="522" t="s">
        <v>658</v>
      </c>
      <c r="G118" s="508"/>
    </row>
    <row r="119" spans="1:10" x14ac:dyDescent="0.3">
      <c r="A119" s="507" t="str">
        <f t="shared" ref="A119:A120" ca="1" si="3">OFFSET($C119,0,$Z$5-1)</f>
        <v>≤ 1</v>
      </c>
      <c r="B119" s="502"/>
      <c r="C119" s="522" t="s">
        <v>664</v>
      </c>
      <c r="D119" s="522" t="s">
        <v>664</v>
      </c>
      <c r="E119" s="522" t="s">
        <v>664</v>
      </c>
      <c r="F119" s="522" t="s">
        <v>664</v>
      </c>
      <c r="G119" s="508"/>
    </row>
    <row r="120" spans="1:10" x14ac:dyDescent="0.3">
      <c r="A120" s="507" t="str">
        <f t="shared" ca="1" si="3"/>
        <v>= 0</v>
      </c>
      <c r="B120" s="502"/>
      <c r="C120" s="523" t="s">
        <v>663</v>
      </c>
      <c r="D120" s="523" t="s">
        <v>663</v>
      </c>
      <c r="E120" s="523" t="s">
        <v>663</v>
      </c>
      <c r="F120" s="523" t="s">
        <v>663</v>
      </c>
      <c r="G120" s="508"/>
    </row>
    <row r="121" spans="1:10" s="499" customFormat="1" x14ac:dyDescent="0.3">
      <c r="A121" s="509" t="str">
        <f t="shared" ref="A121:A140" ca="1" si="4">OFFSET($C121,0,$Z$5-1)</f>
        <v>A N A L Y S E   S W O T   C O M M U N I C A T I O N</v>
      </c>
      <c r="B121" s="497"/>
      <c r="C121" s="479" t="s">
        <v>867</v>
      </c>
      <c r="D121" s="479" t="s">
        <v>868</v>
      </c>
      <c r="E121" s="479" t="s">
        <v>869</v>
      </c>
      <c r="F121" s="479" t="s">
        <v>870</v>
      </c>
      <c r="G121" s="498" t="s">
        <v>407</v>
      </c>
      <c r="J121" s="490"/>
    </row>
    <row r="122" spans="1:10" x14ac:dyDescent="0.3">
      <c r="A122" s="501" t="str">
        <f t="shared" ca="1" si="4"/>
        <v>Forces / faiblesses -&gt; facteurs internes</v>
      </c>
      <c r="B122" s="502"/>
      <c r="C122" s="485" t="s">
        <v>35</v>
      </c>
      <c r="D122" s="473" t="s">
        <v>127</v>
      </c>
      <c r="E122" s="475" t="s">
        <v>541</v>
      </c>
      <c r="F122" s="475" t="s">
        <v>542</v>
      </c>
      <c r="G122" s="503" t="s">
        <v>407</v>
      </c>
    </row>
    <row r="123" spans="1:10" x14ac:dyDescent="0.3">
      <c r="A123" s="505" t="str">
        <f t="shared" ca="1" si="4"/>
        <v>Forces / faiblesses</v>
      </c>
      <c r="B123" s="502"/>
      <c r="C123" s="83" t="s">
        <v>130</v>
      </c>
      <c r="D123" s="83" t="s">
        <v>131</v>
      </c>
      <c r="E123" s="49" t="s">
        <v>543</v>
      </c>
      <c r="F123" s="49" t="s">
        <v>544</v>
      </c>
      <c r="G123" s="506" t="s">
        <v>407</v>
      </c>
    </row>
    <row r="124" spans="1:10" x14ac:dyDescent="0.3">
      <c r="A124" s="505" t="str">
        <f t="shared" ca="1" si="4"/>
        <v>Opportunités / menaces</v>
      </c>
      <c r="B124" s="502"/>
      <c r="C124" s="83" t="s">
        <v>132</v>
      </c>
      <c r="D124" s="83" t="s">
        <v>171</v>
      </c>
      <c r="E124" s="49" t="s">
        <v>545</v>
      </c>
      <c r="F124" s="49" t="s">
        <v>546</v>
      </c>
      <c r="G124" s="506" t="s">
        <v>407</v>
      </c>
    </row>
    <row r="125" spans="1:10" x14ac:dyDescent="0.3">
      <c r="A125" s="505" t="str">
        <f t="shared" ca="1" si="4"/>
        <v>Pondération</v>
      </c>
      <c r="B125" s="502"/>
      <c r="C125" s="149" t="s">
        <v>37</v>
      </c>
      <c r="D125" s="149" t="s">
        <v>36</v>
      </c>
      <c r="E125" s="50" t="s">
        <v>547</v>
      </c>
      <c r="F125" s="50" t="s">
        <v>548</v>
      </c>
      <c r="G125" s="506" t="s">
        <v>407</v>
      </c>
    </row>
    <row r="126" spans="1:10" x14ac:dyDescent="0.3">
      <c r="A126" s="505" t="str">
        <f t="shared" ca="1" si="4"/>
        <v>Opportunités / menaces -&gt; facteurs externes</v>
      </c>
      <c r="B126" s="502"/>
      <c r="C126" s="149" t="s">
        <v>38</v>
      </c>
      <c r="D126" s="83" t="s">
        <v>170</v>
      </c>
      <c r="E126" s="50" t="s">
        <v>549</v>
      </c>
      <c r="F126" s="50" t="s">
        <v>550</v>
      </c>
      <c r="G126" s="506" t="s">
        <v>407</v>
      </c>
    </row>
    <row r="127" spans="1:10" x14ac:dyDescent="0.3">
      <c r="A127" s="505" t="str">
        <f t="shared" ca="1" si="4"/>
        <v>Forces</v>
      </c>
      <c r="B127" s="502"/>
      <c r="C127" s="83" t="s">
        <v>7</v>
      </c>
      <c r="D127" s="83" t="s">
        <v>39</v>
      </c>
      <c r="E127" s="49" t="s">
        <v>551</v>
      </c>
      <c r="F127" s="49" t="s">
        <v>552</v>
      </c>
      <c r="G127" s="506" t="s">
        <v>407</v>
      </c>
    </row>
    <row r="128" spans="1:10" x14ac:dyDescent="0.3">
      <c r="A128" s="505" t="str">
        <f t="shared" ca="1" si="4"/>
        <v>Faiblesses</v>
      </c>
      <c r="B128" s="502"/>
      <c r="C128" s="83" t="s">
        <v>40</v>
      </c>
      <c r="D128" s="83" t="s">
        <v>128</v>
      </c>
      <c r="E128" s="49" t="s">
        <v>553</v>
      </c>
      <c r="F128" s="49" t="s">
        <v>554</v>
      </c>
      <c r="G128" s="506" t="s">
        <v>407</v>
      </c>
    </row>
    <row r="129" spans="1:10" x14ac:dyDescent="0.3">
      <c r="A129" s="505" t="str">
        <f t="shared" ca="1" si="4"/>
        <v>Opportunités</v>
      </c>
      <c r="B129" s="502"/>
      <c r="C129" s="83" t="s">
        <v>6</v>
      </c>
      <c r="D129" s="83" t="s">
        <v>95</v>
      </c>
      <c r="E129" s="49" t="s">
        <v>555</v>
      </c>
      <c r="F129" s="49" t="s">
        <v>556</v>
      </c>
      <c r="G129" s="506" t="s">
        <v>407</v>
      </c>
    </row>
    <row r="130" spans="1:10" x14ac:dyDescent="0.3">
      <c r="A130" s="507" t="str">
        <f t="shared" ca="1" si="4"/>
        <v>Menaces</v>
      </c>
      <c r="B130" s="502"/>
      <c r="C130" s="477" t="s">
        <v>8</v>
      </c>
      <c r="D130" s="477" t="s">
        <v>169</v>
      </c>
      <c r="E130" s="478" t="s">
        <v>557</v>
      </c>
      <c r="F130" s="478" t="s">
        <v>558</v>
      </c>
      <c r="G130" s="508" t="s">
        <v>407</v>
      </c>
    </row>
    <row r="131" spans="1:10" s="499" customFormat="1" x14ac:dyDescent="0.3">
      <c r="A131" s="509" t="str">
        <f t="shared" ca="1" si="4"/>
        <v>G R O U P E   C I B L E</v>
      </c>
      <c r="B131" s="497"/>
      <c r="C131" s="479" t="s">
        <v>683</v>
      </c>
      <c r="D131" s="479" t="s">
        <v>684</v>
      </c>
      <c r="E131" s="479" t="s">
        <v>685</v>
      </c>
      <c r="F131" s="479" t="s">
        <v>686</v>
      </c>
      <c r="G131" s="498" t="s">
        <v>407</v>
      </c>
      <c r="J131" s="490"/>
    </row>
    <row r="132" spans="1:10" x14ac:dyDescent="0.3">
      <c r="A132" s="501" t="str">
        <f t="shared" ca="1" si="4"/>
        <v>Groupe cible</v>
      </c>
      <c r="B132" s="502"/>
      <c r="C132" s="83" t="s">
        <v>687</v>
      </c>
      <c r="D132" s="83" t="s">
        <v>688</v>
      </c>
      <c r="E132" s="49" t="s">
        <v>689</v>
      </c>
      <c r="F132" s="49"/>
      <c r="G132" s="503" t="s">
        <v>407</v>
      </c>
    </row>
    <row r="133" spans="1:10" x14ac:dyDescent="0.3">
      <c r="A133" s="505" t="str">
        <f t="shared" ca="1" si="4"/>
        <v>Message clé</v>
      </c>
      <c r="B133" s="502"/>
      <c r="C133" s="83" t="s">
        <v>694</v>
      </c>
      <c r="D133" s="83" t="s">
        <v>695</v>
      </c>
      <c r="E133" s="49" t="s">
        <v>696</v>
      </c>
      <c r="F133" s="49"/>
      <c r="G133" s="506" t="s">
        <v>407</v>
      </c>
    </row>
    <row r="134" spans="1:10" x14ac:dyDescent="0.3">
      <c r="A134" s="505" t="str">
        <f t="shared" ca="1" si="4"/>
        <v>Intensité de la communication</v>
      </c>
      <c r="B134" s="502"/>
      <c r="C134" s="83" t="s">
        <v>721</v>
      </c>
      <c r="D134" s="83" t="s">
        <v>723</v>
      </c>
      <c r="E134" s="49" t="s">
        <v>559</v>
      </c>
      <c r="F134" s="49"/>
      <c r="G134" s="506" t="s">
        <v>407</v>
      </c>
    </row>
    <row r="135" spans="1:10" x14ac:dyDescent="0.3">
      <c r="A135" s="505" t="str">
        <f t="shared" ca="1" si="4"/>
        <v>Besoins en communication</v>
      </c>
      <c r="B135" s="502"/>
      <c r="C135" s="83" t="s">
        <v>720</v>
      </c>
      <c r="D135" s="83" t="s">
        <v>724</v>
      </c>
      <c r="E135" s="49" t="s">
        <v>772</v>
      </c>
      <c r="F135" s="49"/>
      <c r="G135" s="506"/>
    </row>
    <row r="136" spans="1:10" x14ac:dyDescent="0.3">
      <c r="A136" s="505" t="str">
        <f t="shared" ca="1" si="4"/>
        <v>Itensité com.</v>
      </c>
      <c r="B136" s="502"/>
      <c r="C136" s="83" t="s">
        <v>722</v>
      </c>
      <c r="D136" s="83" t="s">
        <v>769</v>
      </c>
      <c r="E136" s="49" t="s">
        <v>770</v>
      </c>
      <c r="F136" s="49"/>
      <c r="G136" s="506" t="s">
        <v>407</v>
      </c>
    </row>
    <row r="137" spans="1:10" x14ac:dyDescent="0.3">
      <c r="A137" s="505" t="str">
        <f t="shared" ca="1" si="4"/>
        <v>Besoins en com.</v>
      </c>
      <c r="B137" s="502"/>
      <c r="C137" s="83" t="s">
        <v>719</v>
      </c>
      <c r="D137" s="83" t="s">
        <v>771</v>
      </c>
      <c r="E137" s="49" t="s">
        <v>773</v>
      </c>
      <c r="F137" s="49"/>
      <c r="G137" s="506" t="s">
        <v>407</v>
      </c>
    </row>
    <row r="138" spans="1:10" x14ac:dyDescent="0.3">
      <c r="A138" s="505" t="str">
        <f t="shared" ca="1" si="4"/>
        <v>Taille</v>
      </c>
      <c r="B138" s="502"/>
      <c r="C138" s="83" t="s">
        <v>690</v>
      </c>
      <c r="D138" s="83" t="s">
        <v>692</v>
      </c>
      <c r="E138" s="49" t="s">
        <v>691</v>
      </c>
      <c r="F138" s="49" t="s">
        <v>693</v>
      </c>
      <c r="G138" s="506" t="s">
        <v>407</v>
      </c>
    </row>
    <row r="139" spans="1:10" x14ac:dyDescent="0.3">
      <c r="A139" s="505" t="str">
        <f t="shared" ca="1" si="4"/>
        <v>Totale</v>
      </c>
      <c r="B139" s="502"/>
      <c r="C139" s="83" t="s">
        <v>256</v>
      </c>
      <c r="D139" s="83" t="s">
        <v>390</v>
      </c>
      <c r="E139" s="83" t="s">
        <v>256</v>
      </c>
      <c r="F139" s="83"/>
      <c r="G139" s="506" t="s">
        <v>407</v>
      </c>
    </row>
    <row r="140" spans="1:10" x14ac:dyDescent="0.3">
      <c r="A140" s="505" t="str">
        <f t="shared" ca="1" si="4"/>
        <v>Effets attendus</v>
      </c>
      <c r="B140" s="502"/>
      <c r="C140" s="477" t="s">
        <v>768</v>
      </c>
      <c r="D140" s="477" t="s">
        <v>767</v>
      </c>
      <c r="E140" s="477" t="s">
        <v>774</v>
      </c>
      <c r="F140" s="477"/>
      <c r="G140" s="508"/>
    </row>
    <row r="141" spans="1:10" s="499" customFormat="1" x14ac:dyDescent="0.3">
      <c r="A141" s="479" t="str">
        <f t="shared" ref="A141:A144" ca="1" si="5">OFFSET($C141,0,$Z$5-1)</f>
        <v>C A N A U X   D E   C O M M U N I C A T I O N</v>
      </c>
      <c r="B141" s="497"/>
      <c r="C141" s="479" t="s">
        <v>728</v>
      </c>
      <c r="D141" s="479" t="s">
        <v>729</v>
      </c>
      <c r="E141" s="479" t="s">
        <v>730</v>
      </c>
      <c r="F141" s="479" t="s">
        <v>731</v>
      </c>
      <c r="G141" s="498" t="s">
        <v>407</v>
      </c>
      <c r="J141" s="490"/>
    </row>
    <row r="142" spans="1:10" x14ac:dyDescent="0.3">
      <c r="A142" s="505" t="str">
        <f t="shared" ca="1" si="5"/>
        <v>Groupe cible</v>
      </c>
      <c r="B142" s="502"/>
      <c r="C142" s="83" t="s">
        <v>687</v>
      </c>
      <c r="D142" s="83" t="s">
        <v>688</v>
      </c>
      <c r="E142" s="49" t="s">
        <v>689</v>
      </c>
      <c r="F142" s="512" t="s">
        <v>561</v>
      </c>
      <c r="G142" s="506" t="s">
        <v>407</v>
      </c>
    </row>
    <row r="143" spans="1:10" x14ac:dyDescent="0.3">
      <c r="A143" s="505" t="str">
        <f t="shared" ca="1" si="5"/>
        <v>Canal de communication</v>
      </c>
      <c r="B143" s="502"/>
      <c r="C143" s="49" t="s">
        <v>732</v>
      </c>
      <c r="D143" s="83" t="s">
        <v>733</v>
      </c>
      <c r="E143" s="83" t="s">
        <v>734</v>
      </c>
      <c r="F143" s="512"/>
      <c r="G143" s="506"/>
    </row>
    <row r="144" spans="1:10" x14ac:dyDescent="0.3">
      <c r="A144" s="505" t="str">
        <f t="shared" ca="1" si="5"/>
        <v>Canaux</v>
      </c>
      <c r="B144" s="502"/>
      <c r="C144" s="49" t="s">
        <v>757</v>
      </c>
      <c r="D144" s="83" t="s">
        <v>758</v>
      </c>
      <c r="E144" s="83" t="s">
        <v>759</v>
      </c>
      <c r="F144" s="512"/>
      <c r="G144" s="506"/>
    </row>
    <row r="145" spans="1:7" ht="22.8" x14ac:dyDescent="0.3">
      <c r="A145" s="479" t="str">
        <f t="shared" ref="A145:A173" ca="1" si="6">OFFSET($C145,0,$Z$5-1)</f>
        <v xml:space="preserve">O B J E C T I F S  &amp;  M E S U R E S    C O M M U N I C A T I O N </v>
      </c>
      <c r="B145" s="489"/>
      <c r="C145" s="479" t="s">
        <v>861</v>
      </c>
      <c r="D145" s="479" t="s">
        <v>862</v>
      </c>
      <c r="E145" s="479" t="s">
        <v>863</v>
      </c>
      <c r="F145" s="479"/>
      <c r="G145" s="498" t="s">
        <v>407</v>
      </c>
    </row>
    <row r="146" spans="1:7" x14ac:dyDescent="0.3">
      <c r="A146" s="501" t="str">
        <f t="shared" ca="1" si="6"/>
        <v>Afficher tout</v>
      </c>
      <c r="B146" s="502"/>
      <c r="C146" s="485" t="s">
        <v>257</v>
      </c>
      <c r="D146" s="473" t="s">
        <v>258</v>
      </c>
      <c r="E146" s="485" t="s">
        <v>562</v>
      </c>
      <c r="F146" s="485"/>
      <c r="G146" s="503" t="s">
        <v>407</v>
      </c>
    </row>
    <row r="147" spans="1:7" x14ac:dyDescent="0.3">
      <c r="A147" s="505" t="str">
        <f t="shared" ca="1" si="6"/>
        <v>Filtre impression</v>
      </c>
      <c r="B147" s="502"/>
      <c r="C147" s="83" t="s">
        <v>259</v>
      </c>
      <c r="D147" s="83" t="s">
        <v>260</v>
      </c>
      <c r="E147" s="149" t="s">
        <v>563</v>
      </c>
      <c r="F147" s="149"/>
      <c r="G147" s="506" t="s">
        <v>407</v>
      </c>
    </row>
    <row r="148" spans="1:7" x14ac:dyDescent="0.3">
      <c r="A148" s="505" t="str">
        <f t="shared" ca="1" si="6"/>
        <v>Liens vers des documents</v>
      </c>
      <c r="B148" s="502"/>
      <c r="C148" s="149" t="s">
        <v>261</v>
      </c>
      <c r="D148" s="83" t="s">
        <v>262</v>
      </c>
      <c r="E148" s="149" t="s">
        <v>564</v>
      </c>
      <c r="F148" s="149"/>
      <c r="G148" s="506" t="s">
        <v>407</v>
      </c>
    </row>
    <row r="149" spans="1:7" x14ac:dyDescent="0.3">
      <c r="A149" s="505" t="str">
        <f t="shared" ca="1" si="6"/>
        <v>M A S Q U E   D E   S A I S I E</v>
      </c>
      <c r="B149" s="502"/>
      <c r="C149" s="149" t="s">
        <v>263</v>
      </c>
      <c r="D149" s="83" t="s">
        <v>264</v>
      </c>
      <c r="E149" s="149" t="s">
        <v>565</v>
      </c>
      <c r="F149" s="149"/>
      <c r="G149" s="506" t="s">
        <v>407</v>
      </c>
    </row>
    <row r="150" spans="1:7" x14ac:dyDescent="0.3">
      <c r="A150" s="505" t="str">
        <f t="shared" ca="1" si="6"/>
        <v>No.</v>
      </c>
      <c r="B150" s="502"/>
      <c r="C150" s="149" t="s">
        <v>0</v>
      </c>
      <c r="D150" s="83" t="s">
        <v>21</v>
      </c>
      <c r="E150" s="149" t="s">
        <v>21</v>
      </c>
      <c r="F150" s="149"/>
      <c r="G150" s="506" t="s">
        <v>407</v>
      </c>
    </row>
    <row r="151" spans="1:7" x14ac:dyDescent="0.3">
      <c r="A151" s="505" t="str">
        <f t="shared" ca="1" si="6"/>
        <v>Groupe cible</v>
      </c>
      <c r="B151" s="502"/>
      <c r="C151" s="83" t="s">
        <v>687</v>
      </c>
      <c r="D151" s="83" t="s">
        <v>688</v>
      </c>
      <c r="E151" s="83" t="s">
        <v>689</v>
      </c>
      <c r="F151" s="149"/>
      <c r="G151" s="506" t="s">
        <v>407</v>
      </c>
    </row>
    <row r="152" spans="1:7" x14ac:dyDescent="0.3">
      <c r="A152" s="505" t="str">
        <f t="shared" ca="1" si="6"/>
        <v>Indicateurs stratégiques</v>
      </c>
      <c r="B152" s="502"/>
      <c r="C152" s="149" t="s">
        <v>265</v>
      </c>
      <c r="D152" s="83" t="s">
        <v>266</v>
      </c>
      <c r="E152" s="149" t="s">
        <v>566</v>
      </c>
      <c r="F152" s="149"/>
      <c r="G152" s="506" t="s">
        <v>407</v>
      </c>
    </row>
    <row r="153" spans="1:7" x14ac:dyDescent="0.3">
      <c r="A153" s="505" t="str">
        <f t="shared" ca="1" si="6"/>
        <v>ÊTRE</v>
      </c>
      <c r="B153" s="502"/>
      <c r="C153" s="149" t="s">
        <v>267</v>
      </c>
      <c r="D153" s="83" t="s">
        <v>268</v>
      </c>
      <c r="E153" s="149" t="s">
        <v>567</v>
      </c>
      <c r="F153" s="149"/>
      <c r="G153" s="506" t="s">
        <v>407</v>
      </c>
    </row>
    <row r="154" spans="1:7" x14ac:dyDescent="0.3">
      <c r="A154" s="505" t="str">
        <f t="shared" ca="1" si="6"/>
        <v>DOIT</v>
      </c>
      <c r="B154" s="502"/>
      <c r="C154" s="149" t="s">
        <v>269</v>
      </c>
      <c r="D154" s="83" t="s">
        <v>270</v>
      </c>
      <c r="E154" s="149" t="s">
        <v>568</v>
      </c>
      <c r="F154" s="149"/>
      <c r="G154" s="506" t="s">
        <v>407</v>
      </c>
    </row>
    <row r="155" spans="1:7" x14ac:dyDescent="0.3">
      <c r="A155" s="505" t="str">
        <f t="shared" ca="1" si="6"/>
        <v>atteint</v>
      </c>
      <c r="B155" s="502"/>
      <c r="C155" s="149" t="s">
        <v>271</v>
      </c>
      <c r="D155" s="83" t="s">
        <v>272</v>
      </c>
      <c r="E155" s="149" t="s">
        <v>569</v>
      </c>
      <c r="F155" s="149"/>
      <c r="G155" s="506" t="s">
        <v>407</v>
      </c>
    </row>
    <row r="156" spans="1:7" x14ac:dyDescent="0.3">
      <c r="A156" s="505" t="str">
        <f t="shared" ca="1" si="6"/>
        <v>rouge</v>
      </c>
      <c r="B156" s="502"/>
      <c r="C156" s="149" t="s">
        <v>273</v>
      </c>
      <c r="D156" s="83" t="s">
        <v>274</v>
      </c>
      <c r="E156" s="149" t="s">
        <v>570</v>
      </c>
      <c r="F156" s="149"/>
      <c r="G156" s="506" t="s">
        <v>407</v>
      </c>
    </row>
    <row r="157" spans="1:7" x14ac:dyDescent="0.3">
      <c r="A157" s="505" t="str">
        <f t="shared" ca="1" si="6"/>
        <v>jaune</v>
      </c>
      <c r="B157" s="502"/>
      <c r="C157" s="149" t="s">
        <v>275</v>
      </c>
      <c r="D157" s="83" t="s">
        <v>276</v>
      </c>
      <c r="E157" s="149" t="s">
        <v>571</v>
      </c>
      <c r="F157" s="149"/>
      <c r="G157" s="506" t="s">
        <v>407</v>
      </c>
    </row>
    <row r="158" spans="1:7" x14ac:dyDescent="0.3">
      <c r="A158" s="505" t="str">
        <f t="shared" ca="1" si="6"/>
        <v>Objectifs Communication</v>
      </c>
      <c r="B158" s="502"/>
      <c r="C158" s="83" t="s">
        <v>679</v>
      </c>
      <c r="D158" s="83" t="s">
        <v>680</v>
      </c>
      <c r="E158" s="83" t="s">
        <v>681</v>
      </c>
      <c r="F158" s="149"/>
      <c r="G158" s="506" t="s">
        <v>407</v>
      </c>
    </row>
    <row r="159" spans="1:7" x14ac:dyDescent="0.3">
      <c r="A159" s="505" t="str">
        <f t="shared" ca="1" si="6"/>
        <v>Indicateurs</v>
      </c>
      <c r="B159" s="502"/>
      <c r="C159" s="83" t="s">
        <v>376</v>
      </c>
      <c r="D159" s="83" t="s">
        <v>377</v>
      </c>
      <c r="E159" s="149" t="s">
        <v>572</v>
      </c>
      <c r="F159" s="149"/>
      <c r="G159" s="506" t="s">
        <v>407</v>
      </c>
    </row>
    <row r="160" spans="1:7" x14ac:dyDescent="0.3">
      <c r="A160" s="505" t="str">
        <f t="shared" ca="1" si="6"/>
        <v>Mesures</v>
      </c>
      <c r="B160" s="502"/>
      <c r="C160" s="83" t="s">
        <v>777</v>
      </c>
      <c r="D160" s="83" t="s">
        <v>778</v>
      </c>
      <c r="E160" s="83" t="s">
        <v>779</v>
      </c>
      <c r="F160" s="149"/>
      <c r="G160" s="506" t="s">
        <v>407</v>
      </c>
    </row>
    <row r="161" spans="1:7" x14ac:dyDescent="0.3">
      <c r="A161" s="505" t="str">
        <f t="shared" ca="1" si="6"/>
        <v>Lien vers projet</v>
      </c>
      <c r="B161" s="502"/>
      <c r="C161" s="149" t="s">
        <v>277</v>
      </c>
      <c r="D161" s="83" t="s">
        <v>278</v>
      </c>
      <c r="E161" s="149" t="s">
        <v>573</v>
      </c>
      <c r="F161" s="149"/>
      <c r="G161" s="506" t="s">
        <v>407</v>
      </c>
    </row>
    <row r="162" spans="1:7" x14ac:dyDescent="0.3">
      <c r="A162" s="505" t="str">
        <f t="shared" ca="1" si="6"/>
        <v>Début</v>
      </c>
      <c r="B162" s="502"/>
      <c r="C162" s="83" t="s">
        <v>279</v>
      </c>
      <c r="D162" s="83" t="s">
        <v>280</v>
      </c>
      <c r="E162" s="149" t="s">
        <v>574</v>
      </c>
      <c r="F162" s="149"/>
      <c r="G162" s="506" t="s">
        <v>407</v>
      </c>
    </row>
    <row r="163" spans="1:7" x14ac:dyDescent="0.3">
      <c r="A163" s="505" t="str">
        <f t="shared" ca="1" si="6"/>
        <v>Fin</v>
      </c>
      <c r="B163" s="502"/>
      <c r="C163" s="83" t="s">
        <v>281</v>
      </c>
      <c r="D163" s="83" t="s">
        <v>282</v>
      </c>
      <c r="E163" s="149" t="s">
        <v>575</v>
      </c>
      <c r="F163" s="149"/>
      <c r="G163" s="506" t="s">
        <v>407</v>
      </c>
    </row>
    <row r="164" spans="1:7" x14ac:dyDescent="0.3">
      <c r="A164" s="505" t="str">
        <f t="shared" ca="1" si="6"/>
        <v>Qui?</v>
      </c>
      <c r="B164" s="502"/>
      <c r="C164" s="83" t="s">
        <v>283</v>
      </c>
      <c r="D164" s="83" t="s">
        <v>284</v>
      </c>
      <c r="E164" s="149" t="s">
        <v>576</v>
      </c>
      <c r="F164" s="149"/>
      <c r="G164" s="506" t="s">
        <v>407</v>
      </c>
    </row>
    <row r="165" spans="1:7" x14ac:dyDescent="0.3">
      <c r="A165" s="505" t="str">
        <f t="shared" ca="1" si="6"/>
        <v>Remarques</v>
      </c>
      <c r="B165" s="502"/>
      <c r="C165" s="83" t="s">
        <v>11</v>
      </c>
      <c r="D165" s="83" t="s">
        <v>19</v>
      </c>
      <c r="E165" s="83" t="s">
        <v>518</v>
      </c>
      <c r="F165" s="149"/>
      <c r="G165" s="506"/>
    </row>
    <row r="166" spans="1:7" x14ac:dyDescent="0.3">
      <c r="A166" s="479" t="str">
        <f t="shared" ca="1" si="6"/>
        <v>I N D I C A T E U R S   S T R A T É G I Q U E</v>
      </c>
      <c r="B166" s="489"/>
      <c r="C166" s="479" t="s">
        <v>285</v>
      </c>
      <c r="D166" s="479" t="s">
        <v>286</v>
      </c>
      <c r="E166" s="479" t="s">
        <v>577</v>
      </c>
      <c r="F166" s="479"/>
      <c r="G166" s="498" t="s">
        <v>407</v>
      </c>
    </row>
    <row r="167" spans="1:7" x14ac:dyDescent="0.3">
      <c r="A167" s="501" t="str">
        <f t="shared" ca="1" si="6"/>
        <v>Calcul</v>
      </c>
      <c r="B167" s="502"/>
      <c r="C167" s="473" t="s">
        <v>287</v>
      </c>
      <c r="D167" s="474" t="s">
        <v>404</v>
      </c>
      <c r="E167" s="485" t="s">
        <v>578</v>
      </c>
      <c r="F167" s="485"/>
      <c r="G167" s="503" t="s">
        <v>407</v>
      </c>
    </row>
    <row r="168" spans="1:7" x14ac:dyDescent="0.3">
      <c r="A168" s="505" t="str">
        <f t="shared" ca="1" si="6"/>
        <v>Description/Remarques</v>
      </c>
      <c r="B168" s="502"/>
      <c r="C168" s="83" t="s">
        <v>288</v>
      </c>
      <c r="D168" s="49" t="s">
        <v>289</v>
      </c>
      <c r="E168" s="149" t="s">
        <v>579</v>
      </c>
      <c r="F168" s="149"/>
      <c r="G168" s="506" t="s">
        <v>407</v>
      </c>
    </row>
    <row r="169" spans="1:7" x14ac:dyDescent="0.3">
      <c r="A169" s="505" t="str">
        <f t="shared" ca="1" si="6"/>
        <v>Source</v>
      </c>
      <c r="B169" s="502"/>
      <c r="C169" s="83" t="s">
        <v>31</v>
      </c>
      <c r="D169" s="49" t="s">
        <v>32</v>
      </c>
      <c r="E169" s="149" t="s">
        <v>32</v>
      </c>
      <c r="F169" s="149"/>
      <c r="G169" s="506" t="s">
        <v>407</v>
      </c>
    </row>
    <row r="170" spans="1:7" x14ac:dyDescent="0.3">
      <c r="A170" s="505" t="str">
        <f t="shared" ca="1" si="6"/>
        <v>Moment de l'enquête &amp; Comparaison avec la branche</v>
      </c>
      <c r="B170" s="502"/>
      <c r="C170" s="84" t="s">
        <v>290</v>
      </c>
      <c r="D170" s="84" t="s">
        <v>291</v>
      </c>
      <c r="E170" s="149" t="s">
        <v>580</v>
      </c>
      <c r="F170" s="149"/>
      <c r="G170" s="506" t="s">
        <v>407</v>
      </c>
    </row>
    <row r="171" spans="1:7" x14ac:dyDescent="0.3">
      <c r="A171" s="507" t="str">
        <f t="shared" ca="1" si="6"/>
        <v>I N D I C A T E U R S   O B J E C T I F S</v>
      </c>
      <c r="B171" s="502"/>
      <c r="C171" s="477" t="s">
        <v>382</v>
      </c>
      <c r="D171" s="478" t="s">
        <v>383</v>
      </c>
      <c r="E171" s="486" t="s">
        <v>581</v>
      </c>
      <c r="F171" s="486"/>
      <c r="G171" s="508" t="s">
        <v>407</v>
      </c>
    </row>
    <row r="172" spans="1:7" x14ac:dyDescent="0.3">
      <c r="A172" s="479" t="str">
        <f t="shared" ca="1" si="6"/>
        <v>C O M M U N I C A T I O N    C O N T R O L L I N G</v>
      </c>
      <c r="B172" s="489"/>
      <c r="C172" s="479" t="s">
        <v>682</v>
      </c>
      <c r="D172" s="479" t="s">
        <v>764</v>
      </c>
      <c r="E172" s="479" t="s">
        <v>764</v>
      </c>
      <c r="F172" s="479"/>
      <c r="G172" s="498" t="s">
        <v>407</v>
      </c>
    </row>
    <row r="173" spans="1:7" x14ac:dyDescent="0.3">
      <c r="A173" s="513" t="str">
        <f t="shared" ca="1" si="6"/>
        <v>Objectifs</v>
      </c>
      <c r="B173" s="502"/>
      <c r="C173" s="565" t="s">
        <v>725</v>
      </c>
      <c r="D173" s="565" t="s">
        <v>726</v>
      </c>
      <c r="E173" s="565" t="s">
        <v>727</v>
      </c>
      <c r="F173" s="487"/>
      <c r="G173" s="514" t="s">
        <v>407</v>
      </c>
    </row>
    <row r="174" spans="1:7" x14ac:dyDescent="0.3">
      <c r="A174" s="479" t="str">
        <f t="shared" ref="A174:A191" ca="1" si="7">OFFSET($C174,0,$Z$5-1)</f>
        <v>C O M M U N I C A T I O N</v>
      </c>
      <c r="B174" s="515"/>
      <c r="C174" s="479" t="s">
        <v>391</v>
      </c>
      <c r="D174" s="479" t="s">
        <v>392</v>
      </c>
      <c r="E174" s="479" t="s">
        <v>392</v>
      </c>
      <c r="F174" s="479"/>
      <c r="G174" s="498" t="s">
        <v>407</v>
      </c>
    </row>
    <row r="175" spans="1:7" x14ac:dyDescent="0.3">
      <c r="A175" s="501" t="str">
        <f t="shared" ca="1" si="7"/>
        <v>Publicité</v>
      </c>
      <c r="B175" s="502"/>
      <c r="C175" s="474" t="s">
        <v>393</v>
      </c>
      <c r="D175" s="474" t="s">
        <v>168</v>
      </c>
      <c r="E175" s="485" t="s">
        <v>648</v>
      </c>
      <c r="F175" s="485"/>
      <c r="G175" s="503" t="s">
        <v>407</v>
      </c>
    </row>
    <row r="176" spans="1:7" x14ac:dyDescent="0.3">
      <c r="A176" s="505" t="str">
        <f t="shared" ca="1" si="7"/>
        <v>Promotion des ventes</v>
      </c>
      <c r="B176" s="502"/>
      <c r="C176" s="49" t="s">
        <v>400</v>
      </c>
      <c r="D176" s="49" t="s">
        <v>399</v>
      </c>
      <c r="E176" s="149" t="s">
        <v>649</v>
      </c>
      <c r="F176" s="149"/>
      <c r="G176" s="506" t="s">
        <v>407</v>
      </c>
    </row>
    <row r="177" spans="1:10" x14ac:dyDescent="0.3">
      <c r="A177" s="505" t="str">
        <f t="shared" ca="1" si="7"/>
        <v>Vente personnelle</v>
      </c>
      <c r="B177" s="502"/>
      <c r="C177" s="49" t="s">
        <v>408</v>
      </c>
      <c r="D177" s="49" t="s">
        <v>409</v>
      </c>
      <c r="E177" s="149" t="s">
        <v>650</v>
      </c>
      <c r="F177" s="149"/>
      <c r="G177" s="506" t="s">
        <v>407</v>
      </c>
    </row>
    <row r="178" spans="1:10" x14ac:dyDescent="0.3">
      <c r="A178" s="505" t="str">
        <f t="shared" ca="1" si="7"/>
        <v>Internet</v>
      </c>
      <c r="B178" s="502"/>
      <c r="C178" s="49" t="s">
        <v>410</v>
      </c>
      <c r="D178" s="49" t="s">
        <v>410</v>
      </c>
      <c r="E178" s="149" t="s">
        <v>410</v>
      </c>
      <c r="F178" s="149"/>
      <c r="G178" s="506" t="s">
        <v>407</v>
      </c>
    </row>
    <row r="179" spans="1:10" x14ac:dyDescent="0.3">
      <c r="A179" s="505" t="str">
        <f t="shared" ca="1" si="7"/>
        <v>Social Medias</v>
      </c>
      <c r="B179" s="502"/>
      <c r="C179" s="49" t="s">
        <v>411</v>
      </c>
      <c r="D179" s="49" t="s">
        <v>411</v>
      </c>
      <c r="E179" s="149" t="s">
        <v>651</v>
      </c>
      <c r="F179" s="149"/>
      <c r="G179" s="506" t="s">
        <v>407</v>
      </c>
    </row>
    <row r="180" spans="1:10" x14ac:dyDescent="0.3">
      <c r="A180" s="505" t="str">
        <f t="shared" ca="1" si="7"/>
        <v>Marketing direct</v>
      </c>
      <c r="B180" s="502"/>
      <c r="C180" s="49" t="s">
        <v>395</v>
      </c>
      <c r="D180" s="49" t="s">
        <v>398</v>
      </c>
      <c r="E180" s="149" t="s">
        <v>652</v>
      </c>
      <c r="F180" s="149"/>
      <c r="G180" s="506" t="s">
        <v>407</v>
      </c>
    </row>
    <row r="181" spans="1:10" x14ac:dyDescent="0.3">
      <c r="A181" s="505" t="str">
        <f t="shared" ca="1" si="7"/>
        <v>Relations publiques</v>
      </c>
      <c r="B181" s="502"/>
      <c r="C181" s="49" t="s">
        <v>396</v>
      </c>
      <c r="D181" s="49" t="s">
        <v>397</v>
      </c>
      <c r="E181" s="149" t="s">
        <v>653</v>
      </c>
      <c r="F181" s="149"/>
      <c r="G181" s="506" t="s">
        <v>407</v>
      </c>
    </row>
    <row r="182" spans="1:10" x14ac:dyDescent="0.3">
      <c r="A182" s="505" t="str">
        <f t="shared" ca="1" si="7"/>
        <v>Divers</v>
      </c>
      <c r="B182" s="502"/>
      <c r="C182" s="49" t="s">
        <v>412</v>
      </c>
      <c r="D182" s="49" t="s">
        <v>413</v>
      </c>
      <c r="E182" s="149" t="s">
        <v>654</v>
      </c>
      <c r="F182" s="149"/>
      <c r="G182" s="506" t="s">
        <v>407</v>
      </c>
    </row>
    <row r="183" spans="1:10" x14ac:dyDescent="0.3">
      <c r="A183" s="505" t="str">
        <f t="shared" ca="1" si="7"/>
        <v>Promotion des ventes</v>
      </c>
      <c r="B183" s="502"/>
      <c r="C183" s="49" t="s">
        <v>394</v>
      </c>
      <c r="D183" s="49" t="s">
        <v>399</v>
      </c>
      <c r="E183" s="149" t="s">
        <v>649</v>
      </c>
      <c r="F183" s="149"/>
      <c r="G183" s="506" t="s">
        <v>407</v>
      </c>
    </row>
    <row r="184" spans="1:10" x14ac:dyDescent="0.3">
      <c r="A184" s="507" t="str">
        <f t="shared" ca="1" si="7"/>
        <v>Impact</v>
      </c>
      <c r="B184" s="502"/>
      <c r="C184" s="478" t="s">
        <v>30</v>
      </c>
      <c r="D184" s="478" t="s">
        <v>30</v>
      </c>
      <c r="E184" s="486" t="s">
        <v>30</v>
      </c>
      <c r="F184" s="486"/>
      <c r="G184" s="508" t="s">
        <v>407</v>
      </c>
    </row>
    <row r="185" spans="1:10" s="517" customFormat="1" x14ac:dyDescent="0.3">
      <c r="A185" s="479" t="str">
        <f t="shared" ca="1" si="7"/>
        <v>C U S T O M E R   E M P A T H Y   M A P</v>
      </c>
      <c r="B185" s="516"/>
      <c r="C185" s="479" t="s">
        <v>422</v>
      </c>
      <c r="D185" s="479" t="s">
        <v>422</v>
      </c>
      <c r="E185" s="479" t="s">
        <v>422</v>
      </c>
      <c r="F185" s="479"/>
      <c r="G185" s="498" t="s">
        <v>407</v>
      </c>
      <c r="J185" s="518"/>
    </row>
    <row r="186" spans="1:10" s="517" customFormat="1" ht="43.2" x14ac:dyDescent="0.3">
      <c r="A186" s="519" t="str">
        <f t="shared" ca="1" si="7"/>
        <v>what really counts
mayor preoccupations
worries &amp; aspirations</v>
      </c>
      <c r="B186" s="520"/>
      <c r="C186" s="474" t="s">
        <v>423</v>
      </c>
      <c r="D186" s="474" t="s">
        <v>423</v>
      </c>
      <c r="E186" s="474" t="s">
        <v>423</v>
      </c>
      <c r="F186" s="474" t="s">
        <v>423</v>
      </c>
      <c r="G186" s="508" t="s">
        <v>407</v>
      </c>
      <c r="J186" s="518"/>
    </row>
    <row r="187" spans="1:10" s="517" customFormat="1" ht="43.2" x14ac:dyDescent="0.3">
      <c r="A187" s="521" t="str">
        <f t="shared" ca="1" si="7"/>
        <v>what friends say
what boss says
what influencers say</v>
      </c>
      <c r="B187" s="520"/>
      <c r="C187" s="49" t="s">
        <v>424</v>
      </c>
      <c r="D187" s="49" t="s">
        <v>424</v>
      </c>
      <c r="E187" s="49" t="s">
        <v>424</v>
      </c>
      <c r="F187" s="49" t="s">
        <v>424</v>
      </c>
      <c r="G187" s="508" t="s">
        <v>407</v>
      </c>
      <c r="J187" s="518"/>
    </row>
    <row r="188" spans="1:10" s="517" customFormat="1" ht="43.2" x14ac:dyDescent="0.3">
      <c r="A188" s="521" t="str">
        <f t="shared" ca="1" si="7"/>
        <v>attitude in public
appearance
behavior toward others</v>
      </c>
      <c r="B188" s="520"/>
      <c r="C188" s="49" t="s">
        <v>425</v>
      </c>
      <c r="D188" s="49" t="s">
        <v>425</v>
      </c>
      <c r="E188" s="49" t="s">
        <v>425</v>
      </c>
      <c r="F188" s="49" t="s">
        <v>425</v>
      </c>
      <c r="G188" s="508" t="s">
        <v>407</v>
      </c>
      <c r="J188" s="518"/>
    </row>
    <row r="189" spans="1:10" s="517" customFormat="1" ht="43.2" x14ac:dyDescent="0.3">
      <c r="A189" s="521" t="str">
        <f t="shared" ca="1" si="7"/>
        <v>environment
friends
what the market offers</v>
      </c>
      <c r="B189" s="520"/>
      <c r="C189" s="49" t="s">
        <v>426</v>
      </c>
      <c r="D189" s="49" t="s">
        <v>426</v>
      </c>
      <c r="E189" s="49" t="s">
        <v>426</v>
      </c>
      <c r="F189" s="49" t="s">
        <v>426</v>
      </c>
      <c r="G189" s="508" t="s">
        <v>407</v>
      </c>
      <c r="J189" s="518"/>
    </row>
    <row r="190" spans="1:10" s="517" customFormat="1" ht="43.2" x14ac:dyDescent="0.3">
      <c r="A190" s="521" t="str">
        <f t="shared" ca="1" si="7"/>
        <v>fears
frustrations
obstacles</v>
      </c>
      <c r="B190" s="520"/>
      <c r="C190" s="49" t="s">
        <v>427</v>
      </c>
      <c r="D190" s="49" t="s">
        <v>427</v>
      </c>
      <c r="E190" s="49" t="s">
        <v>427</v>
      </c>
      <c r="F190" s="49" t="s">
        <v>427</v>
      </c>
      <c r="G190" s="508" t="s">
        <v>407</v>
      </c>
      <c r="J190" s="518"/>
    </row>
    <row r="191" spans="1:10" s="517" customFormat="1" ht="43.2" x14ac:dyDescent="0.3">
      <c r="A191" s="521" t="str">
        <f t="shared" ca="1" si="7"/>
        <v>wants/needs
measures of success
obstacles</v>
      </c>
      <c r="B191" s="520"/>
      <c r="C191" s="49" t="s">
        <v>428</v>
      </c>
      <c r="D191" s="49" t="s">
        <v>428</v>
      </c>
      <c r="E191" s="49" t="s">
        <v>428</v>
      </c>
      <c r="F191" s="49" t="s">
        <v>428</v>
      </c>
      <c r="G191" s="508" t="s">
        <v>407</v>
      </c>
      <c r="J191" s="518"/>
    </row>
    <row r="192" spans="1:10" s="517" customFormat="1" x14ac:dyDescent="0.3">
      <c r="A192" s="521" t="str">
        <f ca="1">OFFSET($C192,0,$Z$5-1)</f>
        <v>Empathy</v>
      </c>
      <c r="B192" s="520"/>
      <c r="C192" s="49" t="s">
        <v>429</v>
      </c>
      <c r="D192" s="49" t="s">
        <v>429</v>
      </c>
      <c r="E192" s="49" t="s">
        <v>429</v>
      </c>
      <c r="F192" s="49" t="s">
        <v>429</v>
      </c>
      <c r="G192" s="508" t="s">
        <v>407</v>
      </c>
      <c r="J192" s="518"/>
    </row>
    <row r="193" spans="1:10" s="517" customFormat="1" x14ac:dyDescent="0.3">
      <c r="A193" s="479" t="str">
        <f t="shared" ref="A193:A215" ca="1" si="8">OFFSET($C193,0,$Z$5-1)</f>
        <v>C O M M U N I C A T I O N   B U D G E T</v>
      </c>
      <c r="B193" s="516"/>
      <c r="C193" s="479" t="s">
        <v>752</v>
      </c>
      <c r="D193" s="479" t="s">
        <v>766</v>
      </c>
      <c r="E193" s="479" t="s">
        <v>753</v>
      </c>
      <c r="F193" s="479" t="s">
        <v>754</v>
      </c>
      <c r="G193" s="498"/>
      <c r="J193" s="518"/>
    </row>
    <row r="194" spans="1:10" s="517" customFormat="1" x14ac:dyDescent="0.3">
      <c r="A194" s="521" t="str">
        <f t="shared" ca="1" si="8"/>
        <v>Description</v>
      </c>
      <c r="B194" s="520"/>
      <c r="C194" s="540" t="s">
        <v>666</v>
      </c>
      <c r="D194" s="541" t="s">
        <v>665</v>
      </c>
      <c r="E194" s="540" t="s">
        <v>665</v>
      </c>
      <c r="F194" s="49"/>
      <c r="G194" s="508" t="s">
        <v>407</v>
      </c>
      <c r="J194" s="518"/>
    </row>
    <row r="195" spans="1:10" s="517" customFormat="1" x14ac:dyDescent="0.3">
      <c r="A195" s="521" t="str">
        <f t="shared" ca="1" si="8"/>
        <v>DOIT</v>
      </c>
      <c r="B195" s="520"/>
      <c r="C195" s="540" t="s">
        <v>269</v>
      </c>
      <c r="D195" s="541" t="s">
        <v>270</v>
      </c>
      <c r="E195" s="541" t="s">
        <v>568</v>
      </c>
      <c r="F195" s="49"/>
      <c r="G195" s="508" t="s">
        <v>407</v>
      </c>
      <c r="J195" s="518"/>
    </row>
    <row r="196" spans="1:10" s="517" customFormat="1" x14ac:dyDescent="0.3">
      <c r="A196" s="521" t="str">
        <f t="shared" ca="1" si="8"/>
        <v>atteint</v>
      </c>
      <c r="B196" s="520"/>
      <c r="C196" s="540" t="s">
        <v>271</v>
      </c>
      <c r="D196" s="541" t="s">
        <v>272</v>
      </c>
      <c r="E196" s="541" t="s">
        <v>569</v>
      </c>
      <c r="F196" s="49"/>
      <c r="G196" s="508" t="s">
        <v>407</v>
      </c>
      <c r="J196" s="518"/>
    </row>
    <row r="197" spans="1:10" s="517" customFormat="1" x14ac:dyDescent="0.3">
      <c r="A197" s="521" t="str">
        <f t="shared" ca="1" si="8"/>
        <v>écart</v>
      </c>
      <c r="B197" s="520"/>
      <c r="C197" s="49" t="s">
        <v>667</v>
      </c>
      <c r="D197" s="49" t="s">
        <v>672</v>
      </c>
      <c r="E197" s="49" t="s">
        <v>671</v>
      </c>
      <c r="F197" s="49"/>
      <c r="G197" s="508" t="s">
        <v>407</v>
      </c>
      <c r="J197" s="518"/>
    </row>
    <row r="198" spans="1:10" s="517" customFormat="1" x14ac:dyDescent="0.3">
      <c r="A198" s="521" t="str">
        <f t="shared" ca="1" si="8"/>
        <v>TOTAL  BUDGET</v>
      </c>
      <c r="B198" s="520"/>
      <c r="C198" s="49" t="s">
        <v>673</v>
      </c>
      <c r="D198" s="49" t="s">
        <v>673</v>
      </c>
      <c r="E198" s="49" t="s">
        <v>673</v>
      </c>
      <c r="F198" s="49" t="s">
        <v>674</v>
      </c>
      <c r="G198" s="508" t="s">
        <v>407</v>
      </c>
      <c r="J198" s="518"/>
    </row>
    <row r="199" spans="1:10" s="572" customFormat="1" x14ac:dyDescent="0.3">
      <c r="A199" s="566" t="str">
        <f t="shared" ref="A199:A214" ca="1" si="9">OFFSET($C199,0,$Z$5-1)</f>
        <v>M E S U R E S    D E   C O M M U N I C A T I O N</v>
      </c>
      <c r="B199" s="567"/>
      <c r="C199" s="568" t="s">
        <v>775</v>
      </c>
      <c r="D199" s="569" t="s">
        <v>776</v>
      </c>
      <c r="E199" s="569" t="s">
        <v>750</v>
      </c>
      <c r="F199" s="570"/>
      <c r="G199" s="571"/>
      <c r="I199" s="571"/>
      <c r="J199" s="571"/>
    </row>
    <row r="200" spans="1:10" s="572" customFormat="1" x14ac:dyDescent="0.3">
      <c r="A200" s="573" t="str">
        <f t="shared" ca="1" si="9"/>
        <v>Interne</v>
      </c>
      <c r="B200" s="574"/>
      <c r="C200" s="575" t="s">
        <v>735</v>
      </c>
      <c r="D200" s="575" t="s">
        <v>736</v>
      </c>
      <c r="E200" s="576" t="s">
        <v>457</v>
      </c>
      <c r="F200" s="540"/>
      <c r="G200" s="571"/>
      <c r="I200" s="571"/>
      <c r="J200" s="571"/>
    </row>
    <row r="201" spans="1:10" s="572" customFormat="1" x14ac:dyDescent="0.3">
      <c r="A201" s="577" t="str">
        <f t="shared" ca="1" si="9"/>
        <v>Externe</v>
      </c>
      <c r="B201" s="574"/>
      <c r="C201" s="578" t="s">
        <v>737</v>
      </c>
      <c r="D201" s="578" t="s">
        <v>738</v>
      </c>
      <c r="E201" s="574" t="s">
        <v>588</v>
      </c>
      <c r="F201" s="540"/>
      <c r="G201" s="571"/>
      <c r="I201" s="571"/>
      <c r="J201" s="571"/>
    </row>
    <row r="202" spans="1:10" s="572" customFormat="1" x14ac:dyDescent="0.3">
      <c r="A202" s="577" t="str">
        <f t="shared" ca="1" si="9"/>
        <v>Internet</v>
      </c>
      <c r="B202" s="574"/>
      <c r="C202" s="578" t="s">
        <v>410</v>
      </c>
      <c r="D202" s="578" t="s">
        <v>410</v>
      </c>
      <c r="E202" s="574" t="s">
        <v>410</v>
      </c>
      <c r="F202" s="540"/>
      <c r="G202" s="571"/>
      <c r="I202" s="571"/>
      <c r="J202" s="571"/>
    </row>
    <row r="203" spans="1:10" s="572" customFormat="1" x14ac:dyDescent="0.3">
      <c r="A203" s="577" t="str">
        <f t="shared" ca="1" si="9"/>
        <v>Social Medias</v>
      </c>
      <c r="B203" s="574"/>
      <c r="C203" s="578" t="s">
        <v>411</v>
      </c>
      <c r="D203" s="578" t="s">
        <v>411</v>
      </c>
      <c r="E203" s="574" t="s">
        <v>739</v>
      </c>
      <c r="F203" s="540"/>
      <c r="G203" s="571"/>
      <c r="I203" s="571"/>
      <c r="J203" s="571"/>
    </row>
    <row r="204" spans="1:10" s="572" customFormat="1" x14ac:dyDescent="0.3">
      <c r="A204" s="577" t="str">
        <f t="shared" ca="1" si="9"/>
        <v>Relations publiques</v>
      </c>
      <c r="B204" s="574"/>
      <c r="C204" s="578" t="s">
        <v>396</v>
      </c>
      <c r="D204" s="578" t="s">
        <v>397</v>
      </c>
      <c r="E204" s="574" t="s">
        <v>653</v>
      </c>
      <c r="F204" s="540"/>
      <c r="G204" s="571"/>
      <c r="I204" s="571"/>
      <c r="J204" s="571"/>
    </row>
    <row r="205" spans="1:10" s="572" customFormat="1" x14ac:dyDescent="0.3">
      <c r="A205" s="577" t="str">
        <f t="shared" ca="1" si="9"/>
        <v>Divers</v>
      </c>
      <c r="B205" s="574"/>
      <c r="C205" s="578" t="s">
        <v>412</v>
      </c>
      <c r="D205" s="578" t="s">
        <v>413</v>
      </c>
      <c r="E205" s="574" t="s">
        <v>654</v>
      </c>
      <c r="F205" s="540"/>
      <c r="G205" s="571"/>
      <c r="I205" s="571"/>
      <c r="J205" s="571"/>
    </row>
    <row r="206" spans="1:10" s="572" customFormat="1" x14ac:dyDescent="0.3">
      <c r="A206" s="577" t="str">
        <f t="shared" ca="1" si="9"/>
        <v>Impact</v>
      </c>
      <c r="B206" s="574"/>
      <c r="C206" s="578" t="s">
        <v>30</v>
      </c>
      <c r="D206" s="578" t="s">
        <v>30</v>
      </c>
      <c r="E206" s="574" t="s">
        <v>30</v>
      </c>
      <c r="F206" s="540"/>
      <c r="G206" s="571"/>
      <c r="I206" s="571"/>
      <c r="J206" s="571"/>
    </row>
    <row r="207" spans="1:10" s="572" customFormat="1" x14ac:dyDescent="0.3">
      <c r="A207" s="577" t="str">
        <f t="shared" ca="1" si="9"/>
        <v>No.</v>
      </c>
      <c r="B207" s="574"/>
      <c r="C207" s="574" t="s">
        <v>0</v>
      </c>
      <c r="D207" s="574" t="s">
        <v>21</v>
      </c>
      <c r="E207" s="574" t="s">
        <v>21</v>
      </c>
      <c r="F207" s="540"/>
      <c r="G207" s="571"/>
      <c r="I207" s="571"/>
      <c r="J207" s="571"/>
    </row>
    <row r="208" spans="1:10" s="572" customFormat="1" x14ac:dyDescent="0.3">
      <c r="A208" s="577" t="str">
        <f t="shared" ca="1" si="9"/>
        <v>Mesure</v>
      </c>
      <c r="B208" s="574"/>
      <c r="C208" s="574" t="s">
        <v>748</v>
      </c>
      <c r="D208" s="574" t="s">
        <v>749</v>
      </c>
      <c r="E208" s="574" t="s">
        <v>751</v>
      </c>
      <c r="F208" s="540"/>
      <c r="G208" s="571"/>
      <c r="I208" s="571"/>
      <c r="J208" s="571"/>
    </row>
    <row r="209" spans="1:10" s="572" customFormat="1" x14ac:dyDescent="0.3">
      <c r="A209" s="577" t="str">
        <f t="shared" ca="1" si="9"/>
        <v>en %</v>
      </c>
      <c r="B209" s="574"/>
      <c r="C209" s="578" t="s">
        <v>136</v>
      </c>
      <c r="D209" s="578" t="s">
        <v>137</v>
      </c>
      <c r="E209" s="574" t="s">
        <v>740</v>
      </c>
      <c r="F209" s="540"/>
      <c r="G209" s="571"/>
      <c r="I209" s="571"/>
      <c r="J209" s="571"/>
    </row>
    <row r="210" spans="1:10" s="572" customFormat="1" x14ac:dyDescent="0.3">
      <c r="A210" s="577" t="str">
        <f t="shared" ca="1" si="9"/>
        <v>Qui ?</v>
      </c>
      <c r="B210" s="574"/>
      <c r="C210" s="578" t="s">
        <v>283</v>
      </c>
      <c r="D210" s="578" t="s">
        <v>741</v>
      </c>
      <c r="E210" s="574" t="s">
        <v>576</v>
      </c>
      <c r="F210" s="540"/>
      <c r="G210" s="571"/>
      <c r="I210" s="571"/>
      <c r="J210" s="571"/>
    </row>
    <row r="211" spans="1:10" s="572" customFormat="1" x14ac:dyDescent="0.3">
      <c r="A211" s="577" t="str">
        <f t="shared" ca="1" si="9"/>
        <v>Quand ?</v>
      </c>
      <c r="B211" s="574"/>
      <c r="C211" s="578" t="s">
        <v>742</v>
      </c>
      <c r="D211" s="578" t="s">
        <v>743</v>
      </c>
      <c r="E211" s="574" t="s">
        <v>744</v>
      </c>
      <c r="F211" s="540"/>
      <c r="G211" s="571"/>
      <c r="I211" s="571"/>
      <c r="J211" s="571"/>
    </row>
    <row r="212" spans="1:10" s="572" customFormat="1" x14ac:dyDescent="0.3">
      <c r="A212" s="577" t="str">
        <f t="shared" ca="1" si="9"/>
        <v>Priorité</v>
      </c>
      <c r="B212" s="574"/>
      <c r="C212" s="578" t="s">
        <v>745</v>
      </c>
      <c r="D212" s="578" t="s">
        <v>746</v>
      </c>
      <c r="E212" s="574" t="s">
        <v>747</v>
      </c>
      <c r="F212" s="540"/>
      <c r="G212" s="571"/>
      <c r="I212" s="571"/>
      <c r="J212" s="571"/>
    </row>
    <row r="213" spans="1:10" s="572" customFormat="1" x14ac:dyDescent="0.3">
      <c r="A213" s="577" t="str">
        <f t="shared" ca="1" si="9"/>
        <v>Remarques</v>
      </c>
      <c r="B213" s="574"/>
      <c r="C213" s="578" t="s">
        <v>11</v>
      </c>
      <c r="D213" s="578" t="s">
        <v>19</v>
      </c>
      <c r="E213" s="574" t="s">
        <v>516</v>
      </c>
      <c r="F213" s="540"/>
      <c r="G213" s="571"/>
      <c r="I213" s="571"/>
      <c r="J213" s="571"/>
    </row>
    <row r="214" spans="1:10" s="572" customFormat="1" x14ac:dyDescent="0.3">
      <c r="A214" s="579" t="str">
        <f t="shared" ca="1" si="9"/>
        <v>Statut</v>
      </c>
      <c r="B214" s="574"/>
      <c r="C214" s="580" t="s">
        <v>1</v>
      </c>
      <c r="D214" s="580" t="s">
        <v>28</v>
      </c>
      <c r="E214" s="581" t="s">
        <v>1</v>
      </c>
      <c r="F214" s="540"/>
      <c r="G214" s="571"/>
      <c r="I214" s="571"/>
      <c r="J214" s="571"/>
    </row>
    <row r="215" spans="1:10" s="517" customFormat="1" x14ac:dyDescent="0.3">
      <c r="A215" s="521" t="str">
        <f t="shared" ca="1" si="8"/>
        <v>Copy arrow: ctrl and left mouse button</v>
      </c>
      <c r="B215" s="520"/>
      <c r="C215" s="621" t="s">
        <v>864</v>
      </c>
      <c r="D215" s="621" t="s">
        <v>865</v>
      </c>
      <c r="E215" s="621" t="s">
        <v>866</v>
      </c>
      <c r="F215" s="49"/>
      <c r="G215" s="508" t="s">
        <v>407</v>
      </c>
      <c r="J215" s="518"/>
    </row>
    <row r="216" spans="1:10" ht="28.8" x14ac:dyDescent="0.3">
      <c r="A216" s="521" t="str">
        <f ca="1">OFFSET($C216,0,$Z$5-1)</f>
        <v>Voulez-vous ouvrir le programme "Tableau de bord"?</v>
      </c>
      <c r="C216" s="621" t="s">
        <v>968</v>
      </c>
      <c r="D216" s="621" t="s">
        <v>969</v>
      </c>
      <c r="E216" s="621" t="s">
        <v>970</v>
      </c>
      <c r="F216" s="621" t="s">
        <v>971</v>
      </c>
    </row>
    <row r="217" spans="1:10" ht="28.8" x14ac:dyDescent="0.3">
      <c r="A217" s="521" t="str">
        <f ca="1">OFFSET($C217,0,$Z$5-1)</f>
        <v>Assurez-vous, que le fichier "01_Cockpit.xlsm" se touve dans le même répertoire!</v>
      </c>
      <c r="C217" s="621" t="s">
        <v>972</v>
      </c>
      <c r="D217" s="621" t="s">
        <v>973</v>
      </c>
      <c r="E217" s="621" t="s">
        <v>974</v>
      </c>
      <c r="F217" s="621" t="s">
        <v>975</v>
      </c>
    </row>
    <row r="218" spans="1:10" s="572" customFormat="1" x14ac:dyDescent="0.3">
      <c r="A218" s="566" t="str">
        <f t="shared" ref="A218" ca="1" si="10">OFFSET($C218,0,$Z$5-1)</f>
        <v>Carré de communication</v>
      </c>
      <c r="B218" s="567"/>
      <c r="C218" s="568" t="s">
        <v>1000</v>
      </c>
      <c r="D218" s="569" t="s">
        <v>1001</v>
      </c>
      <c r="E218" s="656" t="s">
        <v>1000</v>
      </c>
      <c r="F218" s="570"/>
      <c r="G218" s="571" t="s">
        <v>407</v>
      </c>
      <c r="I218" s="571"/>
      <c r="J218" s="571"/>
    </row>
    <row r="219" spans="1:10" s="517" customFormat="1" x14ac:dyDescent="0.3">
      <c r="A219" s="521" t="str">
        <f t="shared" ref="A219:A233" ca="1" si="11">OFFSET($C219,0,$Z$5-1)</f>
        <v>Niveau relationnel</v>
      </c>
      <c r="B219" s="511"/>
      <c r="C219" s="578" t="s">
        <v>980</v>
      </c>
      <c r="D219" s="578" t="s">
        <v>981</v>
      </c>
      <c r="E219" s="657" t="s">
        <v>980</v>
      </c>
      <c r="F219" s="49"/>
      <c r="G219" s="508"/>
      <c r="J219" s="518"/>
    </row>
    <row r="220" spans="1:10" s="517" customFormat="1" x14ac:dyDescent="0.3">
      <c r="A220" s="521" t="str">
        <f t="shared" ca="1" si="11"/>
        <v>Appel</v>
      </c>
      <c r="B220" s="511"/>
      <c r="C220" s="578" t="s">
        <v>982</v>
      </c>
      <c r="D220" s="578" t="s">
        <v>983</v>
      </c>
      <c r="E220" s="657" t="s">
        <v>982</v>
      </c>
      <c r="F220" s="49"/>
      <c r="G220" s="508"/>
      <c r="J220" s="518"/>
    </row>
    <row r="221" spans="1:10" s="517" customFormat="1" x14ac:dyDescent="0.3">
      <c r="A221" s="521" t="str">
        <f t="shared" ca="1" si="11"/>
        <v>Niveau factuel</v>
      </c>
      <c r="B221" s="511"/>
      <c r="C221" s="578" t="s">
        <v>984</v>
      </c>
      <c r="D221" s="578" t="s">
        <v>985</v>
      </c>
      <c r="E221" s="657" t="s">
        <v>984</v>
      </c>
      <c r="F221" s="49"/>
      <c r="G221" s="508"/>
      <c r="J221" s="518"/>
    </row>
    <row r="222" spans="1:10" s="517" customFormat="1" x14ac:dyDescent="0.3">
      <c r="A222" s="521" t="str">
        <f t="shared" ca="1" si="11"/>
        <v>Autorévélation</v>
      </c>
      <c r="B222" s="511"/>
      <c r="C222" s="578" t="s">
        <v>986</v>
      </c>
      <c r="D222" s="578" t="s">
        <v>987</v>
      </c>
      <c r="E222" s="657" t="s">
        <v>986</v>
      </c>
      <c r="F222" s="49"/>
      <c r="G222" s="508"/>
      <c r="J222" s="518"/>
    </row>
    <row r="223" spans="1:10" s="517" customFormat="1" x14ac:dyDescent="0.3">
      <c r="A223" s="521" t="str">
        <f t="shared" ca="1" si="11"/>
        <v>Déclaration</v>
      </c>
      <c r="B223" s="511"/>
      <c r="C223" s="578" t="s">
        <v>988</v>
      </c>
      <c r="D223" s="578" t="s">
        <v>989</v>
      </c>
      <c r="E223" s="657" t="s">
        <v>988</v>
      </c>
      <c r="F223" s="49"/>
      <c r="G223" s="508"/>
      <c r="J223" s="518"/>
    </row>
    <row r="224" spans="1:10" s="517" customFormat="1" x14ac:dyDescent="0.3">
      <c r="A224" s="521" t="str">
        <f t="shared" ca="1" si="11"/>
        <v>Cryptage</v>
      </c>
      <c r="B224" s="511"/>
      <c r="C224" s="578" t="s">
        <v>990</v>
      </c>
      <c r="D224" s="578" t="s">
        <v>991</v>
      </c>
      <c r="E224" s="657" t="s">
        <v>990</v>
      </c>
      <c r="F224" s="49"/>
      <c r="G224" s="508"/>
      <c r="J224" s="518"/>
    </row>
    <row r="225" spans="1:10" s="517" customFormat="1" x14ac:dyDescent="0.3">
      <c r="A225" s="521" t="str">
        <f t="shared" ca="1" si="11"/>
        <v>Décryptage</v>
      </c>
      <c r="B225" s="511"/>
      <c r="C225" s="578" t="s">
        <v>992</v>
      </c>
      <c r="D225" s="578" t="s">
        <v>993</v>
      </c>
      <c r="E225" s="657" t="s">
        <v>992</v>
      </c>
      <c r="F225" s="49"/>
      <c r="G225" s="508"/>
      <c r="J225" s="518"/>
    </row>
    <row r="226" spans="1:10" s="517" customFormat="1" x14ac:dyDescent="0.3">
      <c r="A226" s="521" t="str">
        <f t="shared" ca="1" si="11"/>
        <v>Émetteur</v>
      </c>
      <c r="B226" s="511"/>
      <c r="C226" s="578" t="s">
        <v>994</v>
      </c>
      <c r="D226" s="578" t="s">
        <v>995</v>
      </c>
      <c r="E226" s="657" t="s">
        <v>994</v>
      </c>
      <c r="F226" s="49"/>
      <c r="G226" s="508"/>
      <c r="J226" s="518"/>
    </row>
    <row r="227" spans="1:10" s="517" customFormat="1" x14ac:dyDescent="0.3">
      <c r="A227" s="521" t="str">
        <f t="shared" ca="1" si="11"/>
        <v>Récepteur</v>
      </c>
      <c r="B227" s="511"/>
      <c r="C227" s="578" t="s">
        <v>996</v>
      </c>
      <c r="D227" s="578" t="s">
        <v>997</v>
      </c>
      <c r="E227" s="657" t="s">
        <v>996</v>
      </c>
      <c r="F227" s="49"/>
      <c r="G227" s="508"/>
      <c r="J227" s="518"/>
    </row>
    <row r="228" spans="1:10" s="517" customFormat="1" x14ac:dyDescent="0.3">
      <c r="A228" s="521" t="str">
        <f t="shared" ca="1" si="11"/>
        <v>Entretien</v>
      </c>
      <c r="B228" s="511"/>
      <c r="C228" s="578" t="s">
        <v>998</v>
      </c>
      <c r="D228" s="578" t="s">
        <v>999</v>
      </c>
      <c r="E228" s="657" t="s">
        <v>998</v>
      </c>
      <c r="F228" s="49"/>
      <c r="G228" s="508"/>
      <c r="J228" s="518"/>
    </row>
    <row r="229" spans="1:10" s="517" customFormat="1" x14ac:dyDescent="0.3">
      <c r="A229" s="521" t="str">
        <f t="shared" ca="1" si="11"/>
        <v>Processus de communication</v>
      </c>
      <c r="B229" s="511"/>
      <c r="C229" s="578" t="s">
        <v>1002</v>
      </c>
      <c r="D229" s="578" t="s">
        <v>1003</v>
      </c>
      <c r="E229" s="657" t="s">
        <v>1002</v>
      </c>
      <c r="F229" s="49"/>
      <c r="G229" s="508"/>
      <c r="J229" s="518"/>
    </row>
    <row r="230" spans="1:10" s="517" customFormat="1" x14ac:dyDescent="0.3">
      <c r="A230" s="521" t="str">
        <f t="shared" ca="1" si="11"/>
        <v>Effets</v>
      </c>
      <c r="B230" s="511"/>
      <c r="C230" s="578" t="s">
        <v>1004</v>
      </c>
      <c r="D230" s="578" t="s">
        <v>1005</v>
      </c>
      <c r="E230" s="657" t="s">
        <v>1004</v>
      </c>
      <c r="F230" s="49"/>
      <c r="G230" s="508"/>
      <c r="J230" s="518"/>
    </row>
    <row r="231" spans="1:10" s="517" customFormat="1" ht="28.8" x14ac:dyDescent="0.3">
      <c r="A231" s="521" t="str">
        <f t="shared" ca="1" si="11"/>
        <v>Retour
(Feedback)</v>
      </c>
      <c r="B231" s="511"/>
      <c r="C231" s="578" t="s">
        <v>1006</v>
      </c>
      <c r="D231" s="578" t="s">
        <v>1007</v>
      </c>
      <c r="E231" s="657" t="s">
        <v>1006</v>
      </c>
      <c r="F231" s="49"/>
      <c r="G231" s="508"/>
      <c r="J231" s="518"/>
    </row>
    <row r="232" spans="1:10" s="517" customFormat="1" x14ac:dyDescent="0.3">
      <c r="A232" s="521" t="str">
        <f t="shared" ca="1" si="11"/>
        <v>signal brouilleur</v>
      </c>
      <c r="B232" s="511"/>
      <c r="C232" s="578" t="s">
        <v>1008</v>
      </c>
      <c r="D232" s="578" t="s">
        <v>1009</v>
      </c>
      <c r="E232" s="657" t="s">
        <v>1008</v>
      </c>
      <c r="F232" s="49"/>
      <c r="G232" s="508"/>
      <c r="J232" s="518"/>
    </row>
    <row r="233" spans="1:10" s="517" customFormat="1" ht="28.8" x14ac:dyDescent="0.3">
      <c r="A233" s="521" t="str">
        <f t="shared" ca="1" si="11"/>
        <v>verbale
nonverbale</v>
      </c>
      <c r="B233" s="511"/>
      <c r="C233" s="578" t="s">
        <v>1010</v>
      </c>
      <c r="D233" s="578" t="s">
        <v>1011</v>
      </c>
      <c r="E233" s="657" t="s">
        <v>1010</v>
      </c>
      <c r="F233" s="49"/>
      <c r="G233" s="508"/>
      <c r="J233" s="518"/>
    </row>
  </sheetData>
  <sheetProtection sheet="1" objects="1" scenarios="1"/>
  <dataValidations count="2">
    <dataValidation type="custom" allowBlank="1" showInputMessage="1" showErrorMessage="1" sqref="Z1 Z4:Z18 J215:J1048576 J19:J44 J46:J198 Z45" xr:uid="{00000000-0002-0000-0000-000000000000}">
      <formula1>$Z$1=";"</formula1>
    </dataValidation>
    <dataValidation type="custom" showInputMessage="1" showErrorMessage="1" sqref="J199:J214" xr:uid="{00000000-0002-0000-0000-000001000000}">
      <formula1>$Z$1=";"</formula1>
    </dataValidation>
  </dataValidations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4">
    <tabColor theme="4" tint="-0.249977111117893"/>
    <pageSetUpPr fitToPage="1"/>
  </sheetPr>
  <dimension ref="A1:U96"/>
  <sheetViews>
    <sheetView showGridLines="0" showRowColHeaders="0" tabSelected="1" zoomScaleNormal="100" workbookViewId="0">
      <pane ySplit="1" topLeftCell="A2" activePane="bottomLeft" state="frozen"/>
      <selection activeCell="A11" sqref="A11:XFD11"/>
      <selection pane="bottomLeft" activeCell="K1" sqref="K1:M1"/>
    </sheetView>
  </sheetViews>
  <sheetFormatPr baseColWidth="10" defaultColWidth="11.44140625" defaultRowHeight="14.4" x14ac:dyDescent="0.3"/>
  <cols>
    <col min="1" max="1" width="0.109375" style="13" customWidth="1"/>
    <col min="2" max="2" width="1.33203125" style="13" customWidth="1"/>
    <col min="3" max="3" width="2.6640625" style="13" customWidth="1"/>
    <col min="4" max="6" width="11.44140625" style="13"/>
    <col min="7" max="7" width="11.44140625" style="13" customWidth="1"/>
    <col min="8" max="12" width="11.44140625" style="13"/>
    <col min="13" max="13" width="9.44140625" style="13" customWidth="1"/>
    <col min="14" max="14" width="5" style="13" customWidth="1"/>
    <col min="15" max="15" width="3" style="13" customWidth="1"/>
    <col min="16" max="16" width="2.109375" style="13" customWidth="1"/>
    <col min="17" max="17" width="85" style="13" customWidth="1"/>
    <col min="18" max="18" width="3.44140625" style="13" customWidth="1"/>
    <col min="19" max="19" width="27.109375" style="13" customWidth="1"/>
    <col min="20" max="16384" width="11.44140625" style="13"/>
  </cols>
  <sheetData>
    <row r="1" spans="1:21" s="2" customFormat="1" ht="42" customHeight="1" x14ac:dyDescent="0.3">
      <c r="B1" s="16"/>
      <c r="C1" s="708" t="str">
        <f ca="1">' '!A5</f>
        <v>C O M M U N I C A T I O N</v>
      </c>
      <c r="D1" s="4"/>
      <c r="E1" s="4"/>
      <c r="F1" s="4"/>
      <c r="G1" s="4"/>
      <c r="H1" s="4"/>
      <c r="I1" s="4"/>
      <c r="J1" s="4"/>
      <c r="K1" s="668"/>
      <c r="L1" s="668"/>
      <c r="M1" s="668"/>
      <c r="N1" s="655"/>
      <c r="O1" s="3"/>
      <c r="P1" s="3"/>
      <c r="Q1" s="3"/>
      <c r="R1" s="3"/>
      <c r="S1" s="3"/>
      <c r="T1" s="3"/>
    </row>
    <row r="2" spans="1:21" s="2" customFormat="1" ht="0.15" customHeight="1" x14ac:dyDescent="0.3">
      <c r="A2" s="55"/>
      <c r="B2" s="19"/>
      <c r="C2" s="632"/>
      <c r="D2" s="12"/>
      <c r="E2" s="12"/>
      <c r="F2" s="12"/>
      <c r="G2" s="12"/>
      <c r="H2" s="12"/>
      <c r="I2" s="12"/>
      <c r="J2" s="12"/>
      <c r="K2" s="633"/>
      <c r="L2" s="633"/>
      <c r="M2" s="633"/>
      <c r="N2" s="564"/>
      <c r="O2" s="3"/>
      <c r="P2" s="3"/>
      <c r="Q2" s="3"/>
      <c r="R2" s="3"/>
      <c r="S2" s="3"/>
      <c r="T2" s="3"/>
    </row>
    <row r="3" spans="1:21" ht="23.25" customHeight="1" x14ac:dyDescent="0.3">
      <c r="D3" s="142"/>
      <c r="E3" s="142"/>
    </row>
    <row r="4" spans="1:21" ht="7.5" customHeight="1" x14ac:dyDescent="0.3"/>
    <row r="13" spans="1:21" x14ac:dyDescent="0.3">
      <c r="Q13"/>
    </row>
    <row r="14" spans="1:21" x14ac:dyDescent="0.3">
      <c r="U14" s="143"/>
    </row>
    <row r="25" spans="16:19" x14ac:dyDescent="0.3">
      <c r="Q25"/>
    </row>
    <row r="26" spans="16:19" x14ac:dyDescent="0.3">
      <c r="S26"/>
    </row>
    <row r="27" spans="16:19" x14ac:dyDescent="0.3">
      <c r="Q27"/>
    </row>
    <row r="28" spans="16:19" x14ac:dyDescent="0.3">
      <c r="P28"/>
    </row>
    <row r="29" spans="16:19" x14ac:dyDescent="0.3">
      <c r="Q29"/>
    </row>
    <row r="34" spans="2:17" ht="5.25" customHeight="1" x14ac:dyDescent="0.3"/>
    <row r="35" spans="2:17" ht="13.5" customHeight="1" x14ac:dyDescent="0.3"/>
    <row r="36" spans="2:17" s="618" customFormat="1" ht="19.5" customHeight="1" x14ac:dyDescent="0.3">
      <c r="B36" s="616"/>
      <c r="C36" s="156" t="s">
        <v>603</v>
      </c>
      <c r="D36" s="616"/>
      <c r="E36" s="617"/>
      <c r="J36" s="617"/>
      <c r="K36" s="617"/>
      <c r="M36" s="615" t="s">
        <v>756</v>
      </c>
    </row>
    <row r="38" spans="2:17" x14ac:dyDescent="0.3">
      <c r="Q38"/>
    </row>
    <row r="41" spans="2:17" x14ac:dyDescent="0.3">
      <c r="D41"/>
    </row>
    <row r="96" spans="6:6" ht="15.6" x14ac:dyDescent="0.3">
      <c r="F96" s="32"/>
    </row>
  </sheetData>
  <sheetProtection sheet="1" objects="1" scenarios="1" formatCells="0" formatColumns="0" formatRows="0" insertHyperlinks="0" selectLockedCells="1" sort="0" autoFilter="0"/>
  <mergeCells count="1">
    <mergeCell ref="K1:M1"/>
  </mergeCells>
  <printOptions horizontalCentered="1" verticalCentered="1"/>
  <pageMargins left="0.23622047244094491" right="0.23622047244094491" top="0.19685039370078741" bottom="0.19685039370078741" header="0" footer="0"/>
  <pageSetup paperSize="9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6257" r:id="rId4" name="Drop Down 1">
              <controlPr defaultSize="0" print="0" autoLine="0" autoPict="0">
                <anchor moveWithCells="1">
                  <from>
                    <xdr:col>11</xdr:col>
                    <xdr:colOff>510540</xdr:colOff>
                    <xdr:row>2</xdr:row>
                    <xdr:rowOff>68580</xdr:rowOff>
                  </from>
                  <to>
                    <xdr:col>12</xdr:col>
                    <xdr:colOff>617220</xdr:colOff>
                    <xdr:row>2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59999389629810485"/>
  </sheetPr>
  <dimension ref="A1:V101"/>
  <sheetViews>
    <sheetView showGridLines="0" zoomScaleNormal="100" workbookViewId="0">
      <pane ySplit="1" topLeftCell="A2" activePane="bottomLeft" state="frozen"/>
      <selection pane="bottomLeft" activeCell="A2" sqref="A2"/>
    </sheetView>
  </sheetViews>
  <sheetFormatPr baseColWidth="10" defaultColWidth="11.44140625" defaultRowHeight="14.4" x14ac:dyDescent="0.3"/>
  <cols>
    <col min="1" max="1" width="7" style="642" customWidth="1"/>
    <col min="2" max="2" width="2.6640625" style="642" customWidth="1"/>
    <col min="3" max="5" width="11.44140625" style="642"/>
    <col min="6" max="6" width="11.44140625" style="642" customWidth="1"/>
    <col min="7" max="11" width="11.44140625" style="642"/>
    <col min="12" max="12" width="5.5546875" style="642" customWidth="1"/>
    <col min="13" max="13" width="5" style="642" customWidth="1"/>
    <col min="14" max="14" width="3" style="642" customWidth="1"/>
    <col min="15" max="15" width="2.109375" style="642" customWidth="1"/>
    <col min="16" max="16" width="11" style="642" customWidth="1"/>
    <col min="17" max="17" width="3.44140625" style="642" customWidth="1"/>
    <col min="18" max="18" width="2" style="642" customWidth="1"/>
    <col min="19" max="16384" width="11.44140625" style="642"/>
  </cols>
  <sheetData>
    <row r="1" spans="1:22" s="641" customFormat="1" ht="43.95" customHeight="1" x14ac:dyDescent="0.3">
      <c r="A1" s="634"/>
      <c r="B1" s="635" t="str">
        <f ca="1">' '!A229</f>
        <v>Processus de communication</v>
      </c>
      <c r="C1" s="636"/>
      <c r="D1" s="636"/>
      <c r="E1" s="636"/>
      <c r="F1" s="636"/>
      <c r="G1" s="636"/>
      <c r="H1" s="636"/>
      <c r="I1" s="637"/>
      <c r="J1" s="638"/>
      <c r="K1" s="637"/>
      <c r="L1" s="637"/>
      <c r="M1" s="639"/>
      <c r="N1" s="639"/>
      <c r="O1" s="639"/>
      <c r="P1" s="651"/>
      <c r="R1" s="640"/>
      <c r="S1" s="640"/>
      <c r="T1" s="640"/>
      <c r="U1" s="640"/>
      <c r="V1" s="640"/>
    </row>
    <row r="2" spans="1:22" ht="23.25" customHeight="1" x14ac:dyDescent="0.3">
      <c r="B2" s="643"/>
      <c r="C2" s="644"/>
      <c r="D2" s="644"/>
    </row>
    <row r="3" spans="1:22" ht="15.6" x14ac:dyDescent="0.3">
      <c r="P3" s="645"/>
    </row>
    <row r="4" spans="1:22" ht="15.6" x14ac:dyDescent="0.3">
      <c r="P4" s="646"/>
    </row>
    <row r="5" spans="1:22" ht="15.6" x14ac:dyDescent="0.3">
      <c r="P5" s="645"/>
      <c r="T5" s="652"/>
    </row>
    <row r="6" spans="1:22" ht="15.6" x14ac:dyDescent="0.3">
      <c r="P6" s="645"/>
    </row>
    <row r="7" spans="1:22" ht="15.6" x14ac:dyDescent="0.3">
      <c r="P7" s="645"/>
    </row>
    <row r="8" spans="1:22" ht="15.6" x14ac:dyDescent="0.3">
      <c r="P8" s="653"/>
    </row>
    <row r="9" spans="1:22" ht="15.6" x14ac:dyDescent="0.3">
      <c r="P9" s="646"/>
    </row>
    <row r="10" spans="1:22" ht="15.6" x14ac:dyDescent="0.3">
      <c r="P10" s="653"/>
    </row>
    <row r="11" spans="1:22" ht="15.6" x14ac:dyDescent="0.3">
      <c r="P11" s="645"/>
    </row>
    <row r="12" spans="1:22" x14ac:dyDescent="0.3">
      <c r="M12" s="647"/>
      <c r="T12" s="652"/>
      <c r="U12" s="652"/>
    </row>
    <row r="14" spans="1:22" x14ac:dyDescent="0.3">
      <c r="U14" s="652"/>
    </row>
    <row r="17" spans="1:21" x14ac:dyDescent="0.3">
      <c r="T17" s="652"/>
    </row>
    <row r="19" spans="1:21" x14ac:dyDescent="0.3">
      <c r="S19" s="652"/>
    </row>
    <row r="28" spans="1:21" x14ac:dyDescent="0.3">
      <c r="A28" s="654" t="s">
        <v>603</v>
      </c>
    </row>
    <row r="30" spans="1:21" x14ac:dyDescent="0.3">
      <c r="T30" s="652"/>
    </row>
    <row r="31" spans="1:21" x14ac:dyDescent="0.3">
      <c r="S31" s="652"/>
    </row>
    <row r="32" spans="1:21" x14ac:dyDescent="0.3">
      <c r="J32" s="652"/>
      <c r="U32" s="652"/>
    </row>
    <row r="38" spans="3:16" x14ac:dyDescent="0.3">
      <c r="K38" s="652"/>
    </row>
    <row r="41" spans="3:16" ht="5.25" customHeight="1" x14ac:dyDescent="0.3"/>
    <row r="42" spans="3:16" x14ac:dyDescent="0.3">
      <c r="C42" s="652"/>
      <c r="P42" s="648"/>
    </row>
    <row r="43" spans="3:16" x14ac:dyDescent="0.3">
      <c r="P43" s="649"/>
    </row>
    <row r="44" spans="3:16" x14ac:dyDescent="0.3">
      <c r="P44" s="649"/>
    </row>
    <row r="45" spans="3:16" x14ac:dyDescent="0.3">
      <c r="E45" s="652"/>
      <c r="P45" s="652"/>
    </row>
    <row r="46" spans="3:16" x14ac:dyDescent="0.3">
      <c r="P46" s="649"/>
    </row>
    <row r="47" spans="3:16" x14ac:dyDescent="0.3">
      <c r="P47" s="649"/>
    </row>
    <row r="48" spans="3:16" x14ac:dyDescent="0.3">
      <c r="P48" s="649"/>
    </row>
    <row r="49" spans="16:16" x14ac:dyDescent="0.3">
      <c r="P49" s="649"/>
    </row>
    <row r="50" spans="16:16" x14ac:dyDescent="0.3">
      <c r="P50" s="649"/>
    </row>
    <row r="51" spans="16:16" x14ac:dyDescent="0.3">
      <c r="P51" s="649"/>
    </row>
    <row r="52" spans="16:16" x14ac:dyDescent="0.3">
      <c r="P52" s="649"/>
    </row>
    <row r="53" spans="16:16" x14ac:dyDescent="0.3">
      <c r="P53" s="649"/>
    </row>
    <row r="54" spans="16:16" x14ac:dyDescent="0.3">
      <c r="P54" s="649"/>
    </row>
    <row r="55" spans="16:16" x14ac:dyDescent="0.3">
      <c r="P55" s="649"/>
    </row>
    <row r="56" spans="16:16" x14ac:dyDescent="0.3">
      <c r="P56" s="649"/>
    </row>
    <row r="57" spans="16:16" x14ac:dyDescent="0.3">
      <c r="P57" s="649"/>
    </row>
    <row r="58" spans="16:16" x14ac:dyDescent="0.3">
      <c r="P58" s="649"/>
    </row>
    <row r="59" spans="16:16" x14ac:dyDescent="0.3">
      <c r="P59" s="649"/>
    </row>
    <row r="60" spans="16:16" x14ac:dyDescent="0.3">
      <c r="P60" s="649"/>
    </row>
    <row r="61" spans="16:16" x14ac:dyDescent="0.3">
      <c r="P61" s="649"/>
    </row>
    <row r="62" spans="16:16" x14ac:dyDescent="0.3">
      <c r="P62" s="649"/>
    </row>
    <row r="63" spans="16:16" x14ac:dyDescent="0.3">
      <c r="P63" s="649"/>
    </row>
    <row r="101" spans="5:5" ht="15.6" x14ac:dyDescent="0.3">
      <c r="E101" s="650"/>
    </row>
  </sheetData>
  <sheetProtection sheet="1" objects="1" scenarios="1" formatCells="0" formatColumns="0" formatRows="0" insertHyperlinks="0" selectLockedCells="1" sort="0" autoFilter="0"/>
  <pageMargins left="0.23622047244094491" right="0.23622047244094491" top="0.19685039370078741" bottom="0.19685039370078741" header="0.19685039370078741" footer="0.19685039370078741"/>
  <pageSetup paperSize="9" orientation="landscape" horizontalDpi="4294967293" verticalDpi="4294967293" r:id="rId1"/>
  <headerFooter>
    <oddFooter>&amp;R&amp;8&amp;K00-047Seite &amp;P von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0">
    <tabColor theme="4" tint="0.39997558519241921"/>
  </sheetPr>
  <dimension ref="A1:P131"/>
  <sheetViews>
    <sheetView showGridLines="0" zoomScaleNormal="100" workbookViewId="0">
      <pane ySplit="4" topLeftCell="A5" activePane="bottomLeft" state="frozen"/>
      <selection activeCell="T14" sqref="T14"/>
      <selection pane="bottomLeft" activeCell="C5" sqref="C5"/>
    </sheetView>
  </sheetViews>
  <sheetFormatPr baseColWidth="10" defaultColWidth="12.5546875" defaultRowHeight="14.4" x14ac:dyDescent="0.3"/>
  <cols>
    <col min="1" max="1" width="7" customWidth="1"/>
    <col min="2" max="2" width="4.5546875" style="10" customWidth="1"/>
    <col min="3" max="3" width="29" style="10" customWidth="1"/>
    <col min="4" max="4" width="10.6640625" style="10" customWidth="1"/>
    <col min="5" max="5" width="11.88671875" style="10" bestFit="1" customWidth="1"/>
    <col min="6" max="6" width="31.6640625" style="10" customWidth="1"/>
    <col min="7" max="7" width="11.109375" style="10" customWidth="1"/>
    <col min="8" max="8" width="24" style="10" customWidth="1"/>
    <col min="9" max="9" width="26" style="10" customWidth="1"/>
    <col min="10" max="10" width="7" style="10" customWidth="1"/>
    <col min="11" max="11" width="0.109375" style="154" customWidth="1"/>
    <col min="12" max="25" width="4" style="10" customWidth="1"/>
    <col min="26" max="16384" width="12.5546875" style="10"/>
  </cols>
  <sheetData>
    <row r="1" spans="1:16" s="1" customFormat="1" ht="43.95" customHeight="1" x14ac:dyDescent="0.3">
      <c r="A1" s="17"/>
      <c r="B1" s="5" t="str">
        <f ca="1">' '!A46</f>
        <v>A N A L Y S E   D E S   P A R T I E S   P R E N A N T E S</v>
      </c>
      <c r="C1" s="5"/>
      <c r="D1" s="5"/>
      <c r="E1" s="5"/>
      <c r="F1" s="5"/>
      <c r="G1" s="5"/>
      <c r="H1" s="5"/>
      <c r="I1" s="5"/>
      <c r="J1" s="141"/>
      <c r="K1" s="221"/>
    </row>
    <row r="2" spans="1:16" customFormat="1" ht="14.25" customHeight="1" x14ac:dyDescent="0.3">
      <c r="A2" s="13"/>
      <c r="K2" s="51"/>
    </row>
    <row r="3" spans="1:16" ht="10.5" customHeight="1" x14ac:dyDescent="0.3">
      <c r="A3" s="42"/>
      <c r="C3"/>
    </row>
    <row r="4" spans="1:16" ht="33.75" customHeight="1" x14ac:dyDescent="0.3">
      <c r="B4" s="203" t="str">
        <f ca="1">' '!A60</f>
        <v>No.</v>
      </c>
      <c r="C4" s="204" t="str">
        <f ca="1">' '!A61</f>
        <v>Groupe de parties prenantes</v>
      </c>
      <c r="D4" s="204" t="str">
        <f ca="1">' '!A63</f>
        <v>Etendue de l'intérêt</v>
      </c>
      <c r="E4" s="204" t="str">
        <f ca="1">' '!A64</f>
        <v>Etendue de l'influence</v>
      </c>
      <c r="F4" s="204" t="str">
        <f ca="1">' '!A62</f>
        <v>Intérêt, attentes</v>
      </c>
      <c r="G4" s="204" t="str">
        <f ca="1">' '!A68</f>
        <v>Taille du groupe</v>
      </c>
      <c r="H4" s="204" t="str">
        <f ca="1">' '!A65</f>
        <v>Chances (+) et 
Dangers (-)</v>
      </c>
      <c r="I4" s="204" t="str">
        <f ca="1">' '!A66</f>
        <v>Mesures possibles</v>
      </c>
      <c r="J4" s="205" t="str">
        <f ca="1">' '!A67</f>
        <v>Statut</v>
      </c>
    </row>
    <row r="5" spans="1:16" ht="23.4" x14ac:dyDescent="0.3">
      <c r="B5" s="206" t="s">
        <v>172</v>
      </c>
      <c r="C5" s="207" t="s">
        <v>602</v>
      </c>
      <c r="D5" s="208">
        <v>8.1818181818181817</v>
      </c>
      <c r="E5" s="208">
        <v>4</v>
      </c>
      <c r="F5" s="207"/>
      <c r="G5" s="209">
        <v>1</v>
      </c>
      <c r="H5" s="207"/>
      <c r="I5" s="207"/>
      <c r="J5" s="210">
        <v>1</v>
      </c>
      <c r="K5" s="154">
        <f>IF(G5=3,3,
IF(G5=2,2,1))</f>
        <v>1</v>
      </c>
      <c r="N5" s="15"/>
      <c r="O5" s="15"/>
      <c r="P5" s="46"/>
    </row>
    <row r="6" spans="1:16" ht="23.4" x14ac:dyDescent="0.3">
      <c r="B6" s="195" t="s">
        <v>173</v>
      </c>
      <c r="C6" s="211" t="s">
        <v>448</v>
      </c>
      <c r="D6" s="212">
        <v>5</v>
      </c>
      <c r="E6" s="212">
        <v>6</v>
      </c>
      <c r="F6" s="211"/>
      <c r="G6" s="213">
        <v>2</v>
      </c>
      <c r="H6" s="214"/>
      <c r="I6" s="211"/>
      <c r="J6" s="215">
        <v>2</v>
      </c>
      <c r="K6" s="154">
        <f t="shared" ref="K6:K24" si="0">IF(G6=3,3,
IF(G6=2,2,1))</f>
        <v>2</v>
      </c>
      <c r="N6"/>
      <c r="O6"/>
      <c r="P6" s="46"/>
    </row>
    <row r="7" spans="1:16" ht="23.4" x14ac:dyDescent="0.3">
      <c r="B7" s="195" t="s">
        <v>174</v>
      </c>
      <c r="C7" s="211"/>
      <c r="D7" s="212"/>
      <c r="E7" s="212"/>
      <c r="F7" s="211"/>
      <c r="G7" s="213"/>
      <c r="H7" s="211"/>
      <c r="I7" s="211"/>
      <c r="J7" s="215">
        <v>3</v>
      </c>
      <c r="K7" s="154">
        <f t="shared" si="0"/>
        <v>1</v>
      </c>
      <c r="N7"/>
      <c r="O7"/>
      <c r="P7" s="46"/>
    </row>
    <row r="8" spans="1:16" ht="23.4" x14ac:dyDescent="0.3">
      <c r="B8" s="195" t="s">
        <v>175</v>
      </c>
      <c r="C8" s="211"/>
      <c r="D8" s="212"/>
      <c r="E8" s="212"/>
      <c r="F8" s="211"/>
      <c r="G8" s="213"/>
      <c r="H8" s="211"/>
      <c r="I8" s="211"/>
      <c r="J8" s="215"/>
      <c r="K8" s="154">
        <f t="shared" si="0"/>
        <v>1</v>
      </c>
      <c r="N8"/>
      <c r="O8"/>
      <c r="P8" s="46"/>
    </row>
    <row r="9" spans="1:16" ht="23.4" x14ac:dyDescent="0.3">
      <c r="B9" s="195" t="s">
        <v>176</v>
      </c>
      <c r="C9" s="211"/>
      <c r="D9" s="212"/>
      <c r="E9" s="212"/>
      <c r="F9" s="211"/>
      <c r="G9" s="213"/>
      <c r="H9" s="211"/>
      <c r="I9" s="211"/>
      <c r="J9" s="215"/>
      <c r="K9" s="154">
        <f t="shared" si="0"/>
        <v>1</v>
      </c>
      <c r="N9"/>
      <c r="O9"/>
      <c r="P9" s="46"/>
    </row>
    <row r="10" spans="1:16" ht="23.4" x14ac:dyDescent="0.3">
      <c r="B10" s="195" t="s">
        <v>177</v>
      </c>
      <c r="C10" s="211"/>
      <c r="D10" s="212"/>
      <c r="E10" s="212"/>
      <c r="F10" s="211"/>
      <c r="G10" s="213"/>
      <c r="H10" s="211"/>
      <c r="I10" s="211"/>
      <c r="J10" s="215"/>
      <c r="K10" s="154">
        <f t="shared" si="0"/>
        <v>1</v>
      </c>
      <c r="N10"/>
      <c r="O10"/>
      <c r="P10" s="46"/>
    </row>
    <row r="11" spans="1:16" ht="23.4" x14ac:dyDescent="0.3">
      <c r="B11" s="195" t="s">
        <v>178</v>
      </c>
      <c r="C11" s="211"/>
      <c r="D11" s="212"/>
      <c r="E11" s="212"/>
      <c r="F11" s="211"/>
      <c r="G11" s="213"/>
      <c r="H11" s="211"/>
      <c r="I11" s="211"/>
      <c r="J11" s="215"/>
      <c r="K11" s="154">
        <f t="shared" si="0"/>
        <v>1</v>
      </c>
      <c r="N11"/>
      <c r="O11"/>
      <c r="P11" s="46"/>
    </row>
    <row r="12" spans="1:16" ht="23.4" x14ac:dyDescent="0.3">
      <c r="B12" s="195" t="s">
        <v>179</v>
      </c>
      <c r="C12" s="211"/>
      <c r="D12" s="212"/>
      <c r="E12" s="212"/>
      <c r="F12" s="211"/>
      <c r="G12" s="213"/>
      <c r="H12" s="211"/>
      <c r="I12" s="211"/>
      <c r="J12" s="215"/>
      <c r="K12" s="154">
        <f t="shared" si="0"/>
        <v>1</v>
      </c>
      <c r="N12"/>
      <c r="O12"/>
      <c r="P12" s="46"/>
    </row>
    <row r="13" spans="1:16" ht="23.4" x14ac:dyDescent="0.3">
      <c r="B13" s="195" t="s">
        <v>180</v>
      </c>
      <c r="C13" s="211"/>
      <c r="D13" s="212"/>
      <c r="E13" s="212"/>
      <c r="F13" s="211"/>
      <c r="G13" s="213"/>
      <c r="H13" s="211"/>
      <c r="I13" s="211"/>
      <c r="J13" s="215"/>
      <c r="K13" s="154">
        <f t="shared" si="0"/>
        <v>1</v>
      </c>
      <c r="N13"/>
      <c r="O13"/>
      <c r="P13" s="46"/>
    </row>
    <row r="14" spans="1:16" ht="23.4" x14ac:dyDescent="0.3">
      <c r="B14" s="195" t="s">
        <v>181</v>
      </c>
      <c r="C14" s="211"/>
      <c r="D14" s="212"/>
      <c r="E14" s="212"/>
      <c r="F14" s="211"/>
      <c r="G14" s="213"/>
      <c r="H14" s="211"/>
      <c r="I14" s="211"/>
      <c r="J14" s="215"/>
      <c r="K14" s="154">
        <f t="shared" si="0"/>
        <v>1</v>
      </c>
      <c r="N14"/>
      <c r="O14"/>
      <c r="P14" s="46"/>
    </row>
    <row r="15" spans="1:16" ht="23.4" x14ac:dyDescent="0.3">
      <c r="B15" s="195" t="s">
        <v>182</v>
      </c>
      <c r="C15" s="211"/>
      <c r="D15" s="212"/>
      <c r="E15" s="212"/>
      <c r="F15" s="211"/>
      <c r="G15" s="213"/>
      <c r="H15" s="211"/>
      <c r="I15" s="211"/>
      <c r="J15" s="215"/>
      <c r="K15" s="154">
        <f t="shared" si="0"/>
        <v>1</v>
      </c>
      <c r="N15"/>
      <c r="O15"/>
      <c r="P15" s="46"/>
    </row>
    <row r="16" spans="1:16" ht="23.4" x14ac:dyDescent="0.3">
      <c r="B16" s="195" t="s">
        <v>183</v>
      </c>
      <c r="C16" s="211"/>
      <c r="D16" s="212"/>
      <c r="E16" s="212"/>
      <c r="F16" s="211"/>
      <c r="G16" s="213"/>
      <c r="H16" s="211"/>
      <c r="I16" s="211"/>
      <c r="J16" s="215"/>
      <c r="K16" s="154">
        <f t="shared" si="0"/>
        <v>1</v>
      </c>
      <c r="N16"/>
      <c r="O16"/>
      <c r="P16" s="46"/>
    </row>
    <row r="17" spans="2:16" ht="23.4" x14ac:dyDescent="0.3">
      <c r="B17" s="195" t="s">
        <v>184</v>
      </c>
      <c r="C17" s="211"/>
      <c r="D17" s="212"/>
      <c r="E17" s="212"/>
      <c r="F17" s="211"/>
      <c r="G17" s="213"/>
      <c r="H17" s="211"/>
      <c r="I17" s="211"/>
      <c r="J17" s="215"/>
      <c r="K17" s="154">
        <f t="shared" si="0"/>
        <v>1</v>
      </c>
      <c r="N17"/>
      <c r="O17"/>
      <c r="P17" s="46"/>
    </row>
    <row r="18" spans="2:16" ht="23.4" x14ac:dyDescent="0.3">
      <c r="B18" s="195" t="s">
        <v>185</v>
      </c>
      <c r="C18" s="211"/>
      <c r="D18" s="212"/>
      <c r="E18" s="212"/>
      <c r="F18" s="211"/>
      <c r="G18" s="213"/>
      <c r="H18" s="211"/>
      <c r="I18" s="211"/>
      <c r="J18" s="215"/>
      <c r="K18" s="154">
        <f t="shared" si="0"/>
        <v>1</v>
      </c>
      <c r="N18"/>
      <c r="O18"/>
      <c r="P18" s="46"/>
    </row>
    <row r="19" spans="2:16" ht="23.4" x14ac:dyDescent="0.3">
      <c r="B19" s="195" t="s">
        <v>186</v>
      </c>
      <c r="C19" s="211"/>
      <c r="D19" s="212"/>
      <c r="E19" s="212"/>
      <c r="F19" s="211"/>
      <c r="G19" s="213"/>
      <c r="H19" s="211"/>
      <c r="I19" s="211"/>
      <c r="J19" s="215"/>
      <c r="K19" s="154">
        <f t="shared" si="0"/>
        <v>1</v>
      </c>
      <c r="N19"/>
      <c r="O19"/>
      <c r="P19" s="46"/>
    </row>
    <row r="20" spans="2:16" ht="23.4" x14ac:dyDescent="0.3">
      <c r="B20" s="195" t="s">
        <v>187</v>
      </c>
      <c r="C20" s="211"/>
      <c r="D20" s="212"/>
      <c r="E20" s="212"/>
      <c r="F20" s="211"/>
      <c r="G20" s="213"/>
      <c r="H20" s="211"/>
      <c r="I20" s="211"/>
      <c r="J20" s="215"/>
      <c r="K20" s="154">
        <f t="shared" si="0"/>
        <v>1</v>
      </c>
      <c r="N20"/>
      <c r="O20"/>
      <c r="P20" s="46"/>
    </row>
    <row r="21" spans="2:16" ht="23.4" x14ac:dyDescent="0.3">
      <c r="B21" s="195" t="s">
        <v>188</v>
      </c>
      <c r="C21" s="211"/>
      <c r="D21" s="212"/>
      <c r="E21" s="212"/>
      <c r="F21" s="211"/>
      <c r="G21" s="213"/>
      <c r="H21" s="211"/>
      <c r="I21" s="211"/>
      <c r="J21" s="215"/>
      <c r="K21" s="154">
        <f t="shared" si="0"/>
        <v>1</v>
      </c>
      <c r="N21"/>
      <c r="O21"/>
      <c r="P21" s="46"/>
    </row>
    <row r="22" spans="2:16" ht="23.4" x14ac:dyDescent="0.3">
      <c r="B22" s="195" t="s">
        <v>189</v>
      </c>
      <c r="C22" s="211"/>
      <c r="D22" s="212"/>
      <c r="E22" s="212"/>
      <c r="F22" s="211"/>
      <c r="G22" s="213"/>
      <c r="H22" s="211"/>
      <c r="I22" s="211"/>
      <c r="J22" s="215"/>
      <c r="K22" s="154">
        <f t="shared" si="0"/>
        <v>1</v>
      </c>
      <c r="N22"/>
      <c r="O22"/>
      <c r="P22" s="46"/>
    </row>
    <row r="23" spans="2:16" ht="23.4" x14ac:dyDescent="0.3">
      <c r="B23" s="195" t="s">
        <v>244</v>
      </c>
      <c r="C23" s="211"/>
      <c r="D23" s="212"/>
      <c r="E23" s="212"/>
      <c r="F23" s="211"/>
      <c r="G23" s="213"/>
      <c r="H23" s="211"/>
      <c r="I23" s="211"/>
      <c r="J23" s="215"/>
      <c r="K23" s="154">
        <f t="shared" si="0"/>
        <v>1</v>
      </c>
      <c r="N23"/>
      <c r="O23"/>
      <c r="P23" s="46"/>
    </row>
    <row r="24" spans="2:16" ht="23.4" x14ac:dyDescent="0.3">
      <c r="B24" s="216" t="s">
        <v>245</v>
      </c>
      <c r="C24" s="211"/>
      <c r="D24" s="212"/>
      <c r="E24" s="212"/>
      <c r="F24" s="217"/>
      <c r="G24" s="218"/>
      <c r="H24" s="217"/>
      <c r="I24" s="217"/>
      <c r="J24" s="219"/>
      <c r="K24" s="154">
        <f t="shared" si="0"/>
        <v>1</v>
      </c>
      <c r="N24"/>
      <c r="O24"/>
      <c r="P24" s="46"/>
    </row>
    <row r="25" spans="2:16" x14ac:dyDescent="0.3">
      <c r="B25" s="155" t="s">
        <v>603</v>
      </c>
      <c r="C25"/>
      <c r="N25"/>
      <c r="O25"/>
    </row>
    <row r="26" spans="2:16" ht="22.5" customHeight="1" x14ac:dyDescent="0.3">
      <c r="N26"/>
      <c r="O26"/>
    </row>
    <row r="27" spans="2:16" ht="22.5" customHeight="1" x14ac:dyDescent="0.3">
      <c r="N27"/>
      <c r="O27"/>
    </row>
    <row r="28" spans="2:16" ht="22.5" customHeight="1" x14ac:dyDescent="0.35">
      <c r="H28" s="220" t="str">
        <f>IF(C5&lt;&gt;"",CONCATENATE("    ",B5,"   ",C5),"")</f>
        <v xml:space="preserve">    s1   Gruppe 1 </v>
      </c>
      <c r="I28" s="79"/>
      <c r="N28"/>
      <c r="O28"/>
    </row>
    <row r="29" spans="2:16" ht="22.5" customHeight="1" x14ac:dyDescent="0.35">
      <c r="H29" s="220" t="str">
        <f t="shared" ref="H29:H47" si="1">IF(C6&lt;&gt;"",CONCATENATE("    ",B6,"   ",C6),"")</f>
        <v xml:space="preserve">    s2   Gruppe 2</v>
      </c>
      <c r="I29" s="79"/>
      <c r="N29"/>
      <c r="O29"/>
    </row>
    <row r="30" spans="2:16" ht="22.5" customHeight="1" x14ac:dyDescent="0.35">
      <c r="H30" s="220" t="str">
        <f t="shared" si="1"/>
        <v/>
      </c>
      <c r="I30" s="79"/>
      <c r="N30"/>
      <c r="O30"/>
    </row>
    <row r="31" spans="2:16" ht="22.5" customHeight="1" x14ac:dyDescent="0.35">
      <c r="H31" s="220" t="str">
        <f t="shared" si="1"/>
        <v/>
      </c>
      <c r="I31" s="79"/>
      <c r="N31"/>
      <c r="O31"/>
    </row>
    <row r="32" spans="2:16" ht="22.5" customHeight="1" x14ac:dyDescent="0.35">
      <c r="H32" s="220" t="str">
        <f t="shared" si="1"/>
        <v/>
      </c>
      <c r="I32" s="79"/>
      <c r="N32"/>
      <c r="O32"/>
    </row>
    <row r="33" spans="8:15" ht="22.5" customHeight="1" x14ac:dyDescent="0.35">
      <c r="H33" s="220" t="str">
        <f t="shared" si="1"/>
        <v/>
      </c>
      <c r="I33" s="79"/>
      <c r="N33"/>
      <c r="O33"/>
    </row>
    <row r="34" spans="8:15" ht="22.5" customHeight="1" x14ac:dyDescent="0.35">
      <c r="H34" s="220" t="str">
        <f t="shared" si="1"/>
        <v/>
      </c>
      <c r="I34" s="79"/>
      <c r="N34"/>
      <c r="O34"/>
    </row>
    <row r="35" spans="8:15" ht="22.5" customHeight="1" x14ac:dyDescent="0.35">
      <c r="H35" s="220" t="str">
        <f t="shared" si="1"/>
        <v/>
      </c>
      <c r="I35" s="79"/>
      <c r="N35"/>
      <c r="O35"/>
    </row>
    <row r="36" spans="8:15" ht="22.5" customHeight="1" x14ac:dyDescent="0.35">
      <c r="H36" s="220" t="str">
        <f t="shared" si="1"/>
        <v/>
      </c>
      <c r="I36" s="79"/>
      <c r="N36"/>
      <c r="O36"/>
    </row>
    <row r="37" spans="8:15" ht="22.5" customHeight="1" x14ac:dyDescent="0.35">
      <c r="H37" s="220" t="str">
        <f t="shared" si="1"/>
        <v/>
      </c>
      <c r="I37" s="79"/>
      <c r="N37"/>
      <c r="O37"/>
    </row>
    <row r="38" spans="8:15" ht="22.5" customHeight="1" x14ac:dyDescent="0.35">
      <c r="H38" s="220" t="str">
        <f t="shared" si="1"/>
        <v/>
      </c>
      <c r="I38" s="79"/>
      <c r="N38"/>
      <c r="O38"/>
    </row>
    <row r="39" spans="8:15" ht="22.5" customHeight="1" x14ac:dyDescent="0.35">
      <c r="H39" s="220" t="str">
        <f t="shared" si="1"/>
        <v/>
      </c>
      <c r="I39" s="79"/>
      <c r="N39"/>
      <c r="O39"/>
    </row>
    <row r="40" spans="8:15" ht="22.5" customHeight="1" x14ac:dyDescent="0.35">
      <c r="H40" s="220" t="str">
        <f t="shared" si="1"/>
        <v/>
      </c>
      <c r="I40" s="79"/>
      <c r="N40"/>
      <c r="O40"/>
    </row>
    <row r="41" spans="8:15" ht="22.5" customHeight="1" x14ac:dyDescent="0.35">
      <c r="H41" s="220" t="str">
        <f t="shared" si="1"/>
        <v/>
      </c>
      <c r="I41" s="79"/>
      <c r="N41"/>
      <c r="O41"/>
    </row>
    <row r="42" spans="8:15" ht="22.5" customHeight="1" x14ac:dyDescent="0.35">
      <c r="H42" s="220" t="str">
        <f t="shared" si="1"/>
        <v/>
      </c>
      <c r="I42" s="79"/>
      <c r="N42"/>
      <c r="O42"/>
    </row>
    <row r="43" spans="8:15" ht="22.5" customHeight="1" x14ac:dyDescent="0.35">
      <c r="H43" s="220" t="str">
        <f t="shared" si="1"/>
        <v/>
      </c>
      <c r="I43" s="79"/>
      <c r="N43"/>
      <c r="O43"/>
    </row>
    <row r="44" spans="8:15" ht="22.5" customHeight="1" x14ac:dyDescent="0.35">
      <c r="H44" s="220" t="str">
        <f t="shared" si="1"/>
        <v/>
      </c>
      <c r="I44" s="79"/>
      <c r="N44"/>
      <c r="O44"/>
    </row>
    <row r="45" spans="8:15" ht="22.5" customHeight="1" x14ac:dyDescent="0.35">
      <c r="H45" s="220" t="str">
        <f t="shared" si="1"/>
        <v/>
      </c>
      <c r="I45" s="79"/>
      <c r="N45"/>
      <c r="O45"/>
    </row>
    <row r="46" spans="8:15" ht="22.5" customHeight="1" x14ac:dyDescent="0.35">
      <c r="H46" s="220" t="str">
        <f t="shared" si="1"/>
        <v/>
      </c>
      <c r="I46" s="79"/>
      <c r="N46"/>
      <c r="O46"/>
    </row>
    <row r="47" spans="8:15" ht="22.5" customHeight="1" x14ac:dyDescent="0.35">
      <c r="H47" s="220" t="str">
        <f t="shared" si="1"/>
        <v/>
      </c>
      <c r="I47" s="79"/>
      <c r="N47"/>
      <c r="O47"/>
    </row>
    <row r="48" spans="8:15" ht="22.5" customHeight="1" x14ac:dyDescent="0.3">
      <c r="N48"/>
      <c r="O48"/>
    </row>
    <row r="49" spans="1:15" ht="22.5" customHeight="1" x14ac:dyDescent="0.3">
      <c r="N49"/>
      <c r="O49"/>
    </row>
    <row r="50" spans="1:15" ht="0.9" customHeight="1" x14ac:dyDescent="0.3">
      <c r="A50" s="18"/>
      <c r="N50"/>
      <c r="O50"/>
    </row>
    <row r="51" spans="1:15" ht="22.5" customHeight="1" x14ac:dyDescent="0.3">
      <c r="B51" s="155"/>
      <c r="C51"/>
      <c r="N51"/>
      <c r="O51"/>
    </row>
    <row r="52" spans="1:15" ht="22.5" customHeight="1" x14ac:dyDescent="0.3">
      <c r="B52" s="43"/>
      <c r="N52"/>
      <c r="O52"/>
    </row>
    <row r="53" spans="1:15" ht="22.5" customHeight="1" x14ac:dyDescent="0.3">
      <c r="N53"/>
      <c r="O53"/>
    </row>
    <row r="54" spans="1:15" ht="22.5" customHeight="1" x14ac:dyDescent="0.3">
      <c r="N54"/>
      <c r="O54"/>
    </row>
    <row r="55" spans="1:15" ht="22.5" customHeight="1" x14ac:dyDescent="0.3">
      <c r="N55"/>
      <c r="O55"/>
    </row>
    <row r="56" spans="1:15" ht="22.5" customHeight="1" x14ac:dyDescent="0.3">
      <c r="N56"/>
      <c r="O56"/>
    </row>
    <row r="57" spans="1:15" ht="22.5" customHeight="1" x14ac:dyDescent="0.3">
      <c r="N57"/>
      <c r="O57"/>
    </row>
    <row r="58" spans="1:15" ht="22.5" customHeight="1" x14ac:dyDescent="0.3">
      <c r="N58"/>
      <c r="O58"/>
    </row>
    <row r="59" spans="1:15" ht="22.5" customHeight="1" x14ac:dyDescent="0.3">
      <c r="N59"/>
      <c r="O59"/>
    </row>
    <row r="60" spans="1:15" ht="22.5" customHeight="1" x14ac:dyDescent="0.3">
      <c r="N60"/>
      <c r="O60"/>
    </row>
    <row r="61" spans="1:15" ht="22.5" customHeight="1" x14ac:dyDescent="0.3">
      <c r="N61"/>
      <c r="O61"/>
    </row>
    <row r="62" spans="1:15" ht="22.5" customHeight="1" x14ac:dyDescent="0.3">
      <c r="N62"/>
      <c r="O62"/>
    </row>
    <row r="63" spans="1:15" ht="22.5" customHeight="1" x14ac:dyDescent="0.3">
      <c r="N63"/>
      <c r="O63"/>
    </row>
    <row r="64" spans="1:15" ht="22.5" customHeight="1" x14ac:dyDescent="0.3">
      <c r="N64"/>
      <c r="O64"/>
    </row>
    <row r="65" spans="1:15" ht="22.5" customHeight="1" x14ac:dyDescent="0.3">
      <c r="N65"/>
      <c r="O65"/>
    </row>
    <row r="66" spans="1:15" ht="22.5" customHeight="1" x14ac:dyDescent="0.3">
      <c r="N66"/>
      <c r="O66"/>
    </row>
    <row r="67" spans="1:15" ht="22.5" customHeight="1" x14ac:dyDescent="0.3">
      <c r="N67"/>
      <c r="O67"/>
    </row>
    <row r="68" spans="1:15" ht="22.5" customHeight="1" x14ac:dyDescent="0.3">
      <c r="N68"/>
      <c r="O68"/>
    </row>
    <row r="69" spans="1:15" ht="22.5" customHeight="1" x14ac:dyDescent="0.3">
      <c r="N69"/>
      <c r="O69"/>
    </row>
    <row r="70" spans="1:15" ht="22.5" customHeight="1" x14ac:dyDescent="0.3">
      <c r="N70"/>
      <c r="O70"/>
    </row>
    <row r="71" spans="1:15" ht="22.5" customHeight="1" x14ac:dyDescent="0.3">
      <c r="N71"/>
      <c r="O71"/>
    </row>
    <row r="72" spans="1:15" ht="22.5" customHeight="1" x14ac:dyDescent="0.3">
      <c r="H72" s="10" t="str">
        <f ca="1">' '!A51</f>
        <v>contacts fréquents</v>
      </c>
      <c r="N72"/>
      <c r="O72"/>
    </row>
    <row r="73" spans="1:15" ht="22.5" customHeight="1" x14ac:dyDescent="0.3">
      <c r="H73" s="10" t="str">
        <f ca="1">' '!A52</f>
        <v>contacts réguliers</v>
      </c>
      <c r="N73"/>
      <c r="O73"/>
    </row>
    <row r="74" spans="1:15" ht="22.5" customHeight="1" x14ac:dyDescent="0.3">
      <c r="H74" s="10" t="str">
        <f ca="1">' '!A53</f>
        <v>contacts rares</v>
      </c>
      <c r="N74"/>
      <c r="O74"/>
    </row>
    <row r="75" spans="1:15" ht="22.5" customHeight="1" x14ac:dyDescent="0.3">
      <c r="B75" s="156" t="s">
        <v>603</v>
      </c>
      <c r="N75"/>
      <c r="O75"/>
    </row>
    <row r="76" spans="1:15" ht="0.9" customHeight="1" x14ac:dyDescent="0.3">
      <c r="A76" s="18"/>
      <c r="N76"/>
      <c r="O76"/>
    </row>
    <row r="77" spans="1:15" ht="22.5" customHeight="1" x14ac:dyDescent="0.3">
      <c r="N77"/>
      <c r="O77"/>
    </row>
    <row r="78" spans="1:15" ht="22.5" customHeight="1" x14ac:dyDescent="0.3">
      <c r="N78"/>
      <c r="O78"/>
    </row>
    <row r="79" spans="1:15" ht="22.5" customHeight="1" x14ac:dyDescent="0.3">
      <c r="N79"/>
      <c r="O79"/>
    </row>
    <row r="80" spans="1:15" ht="22.5" customHeight="1" x14ac:dyDescent="0.3">
      <c r="N80"/>
      <c r="O80"/>
    </row>
    <row r="81" spans="14:15" ht="22.5" customHeight="1" x14ac:dyDescent="0.3">
      <c r="N81"/>
      <c r="O81"/>
    </row>
    <row r="82" spans="14:15" ht="22.5" customHeight="1" x14ac:dyDescent="0.3">
      <c r="N82"/>
      <c r="O82"/>
    </row>
    <row r="83" spans="14:15" ht="22.5" customHeight="1" x14ac:dyDescent="0.3">
      <c r="N83"/>
      <c r="O83"/>
    </row>
    <row r="84" spans="14:15" ht="22.5" customHeight="1" x14ac:dyDescent="0.3">
      <c r="N84"/>
      <c r="O84"/>
    </row>
    <row r="85" spans="14:15" ht="22.5" customHeight="1" x14ac:dyDescent="0.3">
      <c r="N85"/>
      <c r="O85"/>
    </row>
    <row r="86" spans="14:15" ht="22.5" customHeight="1" x14ac:dyDescent="0.3">
      <c r="N86"/>
      <c r="O86"/>
    </row>
    <row r="87" spans="14:15" ht="22.5" customHeight="1" x14ac:dyDescent="0.3">
      <c r="N87"/>
      <c r="O87"/>
    </row>
    <row r="88" spans="14:15" ht="22.5" customHeight="1" x14ac:dyDescent="0.3">
      <c r="N88"/>
      <c r="O88"/>
    </row>
    <row r="89" spans="14:15" ht="22.5" customHeight="1" x14ac:dyDescent="0.3">
      <c r="N89"/>
      <c r="O89"/>
    </row>
    <row r="90" spans="14:15" ht="22.5" customHeight="1" x14ac:dyDescent="0.3">
      <c r="N90"/>
      <c r="O90"/>
    </row>
    <row r="91" spans="14:15" ht="22.5" customHeight="1" x14ac:dyDescent="0.3">
      <c r="N91"/>
      <c r="O91"/>
    </row>
    <row r="92" spans="14:15" ht="22.5" customHeight="1" x14ac:dyDescent="0.3">
      <c r="N92"/>
      <c r="O92"/>
    </row>
    <row r="93" spans="14:15" ht="22.5" customHeight="1" x14ac:dyDescent="0.3">
      <c r="N93"/>
      <c r="O93"/>
    </row>
    <row r="94" spans="14:15" ht="22.5" customHeight="1" x14ac:dyDescent="0.3">
      <c r="N94"/>
      <c r="O94"/>
    </row>
    <row r="95" spans="14:15" ht="22.5" customHeight="1" x14ac:dyDescent="0.3">
      <c r="N95"/>
      <c r="O95"/>
    </row>
    <row r="96" spans="14:15" ht="22.5" customHeight="1" x14ac:dyDescent="0.3">
      <c r="N96"/>
      <c r="O96"/>
    </row>
    <row r="98" spans="4:15" x14ac:dyDescent="0.3">
      <c r="N98"/>
      <c r="O98"/>
    </row>
    <row r="99" spans="4:15" x14ac:dyDescent="0.3">
      <c r="N99"/>
      <c r="O99"/>
    </row>
    <row r="100" spans="4:15" x14ac:dyDescent="0.3">
      <c r="N100"/>
      <c r="O100"/>
    </row>
    <row r="101" spans="4:15" x14ac:dyDescent="0.3">
      <c r="N101"/>
      <c r="O101"/>
    </row>
    <row r="102" spans="4:15" x14ac:dyDescent="0.3">
      <c r="N102"/>
    </row>
    <row r="106" spans="4:15" ht="15.6" x14ac:dyDescent="0.3">
      <c r="F106" s="23"/>
      <c r="G106" s="23"/>
    </row>
    <row r="112" spans="4:15" x14ac:dyDescent="0.3">
      <c r="D112" s="15"/>
    </row>
    <row r="113" spans="4:4" x14ac:dyDescent="0.3">
      <c r="D113"/>
    </row>
    <row r="114" spans="4:4" x14ac:dyDescent="0.3">
      <c r="D114"/>
    </row>
    <row r="115" spans="4:4" x14ac:dyDescent="0.3">
      <c r="D115"/>
    </row>
    <row r="116" spans="4:4" x14ac:dyDescent="0.3">
      <c r="D116"/>
    </row>
    <row r="117" spans="4:4" x14ac:dyDescent="0.3">
      <c r="D117"/>
    </row>
    <row r="118" spans="4:4" x14ac:dyDescent="0.3">
      <c r="D118"/>
    </row>
    <row r="119" spans="4:4" x14ac:dyDescent="0.3">
      <c r="D119"/>
    </row>
    <row r="120" spans="4:4" x14ac:dyDescent="0.3">
      <c r="D120"/>
    </row>
    <row r="121" spans="4:4" x14ac:dyDescent="0.3">
      <c r="D121"/>
    </row>
    <row r="122" spans="4:4" x14ac:dyDescent="0.3">
      <c r="D122"/>
    </row>
    <row r="123" spans="4:4" x14ac:dyDescent="0.3">
      <c r="D123"/>
    </row>
    <row r="124" spans="4:4" x14ac:dyDescent="0.3">
      <c r="D124"/>
    </row>
    <row r="125" spans="4:4" x14ac:dyDescent="0.3">
      <c r="D125"/>
    </row>
    <row r="126" spans="4:4" x14ac:dyDescent="0.3">
      <c r="D126"/>
    </row>
    <row r="127" spans="4:4" x14ac:dyDescent="0.3">
      <c r="D127"/>
    </row>
    <row r="128" spans="4:4" x14ac:dyDescent="0.3">
      <c r="D128"/>
    </row>
    <row r="129" spans="4:4" x14ac:dyDescent="0.3">
      <c r="D129"/>
    </row>
    <row r="130" spans="4:4" x14ac:dyDescent="0.3">
      <c r="D130"/>
    </row>
    <row r="131" spans="4:4" x14ac:dyDescent="0.3">
      <c r="D131"/>
    </row>
  </sheetData>
  <sheetProtection sheet="1" objects="1" scenarios="1" formatCells="0" formatColumns="0" formatRows="0" insertHyperlinks="0" selectLockedCells="1" sort="0" autoFilter="0"/>
  <conditionalFormatting sqref="B5:J24">
    <cfRule type="expression" dxfId="92" priority="5">
      <formula>MOD(ROW(A1),2)=0</formula>
    </cfRule>
    <cfRule type="expression" dxfId="91" priority="6">
      <formula>MOD(ROW(A2),2)=0</formula>
    </cfRule>
  </conditionalFormatting>
  <conditionalFormatting sqref="D5:D24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J5:J24 G5:G24 J81:J96 G26:G96" xr:uid="{00000000-0002-0000-0300-000000000000}">
      <formula1>"1,2,3"</formula1>
    </dataValidation>
    <dataValidation type="list" allowBlank="1" showInputMessage="1" showErrorMessage="1" sqref="D26:E96 D5:E24" xr:uid="{00000000-0002-0000-03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0" fitToWidth="2" fitToHeight="2" orientation="portrait" r:id="rId1"/>
  <headerFooter>
    <oddFooter>&amp;L&amp;8&amp;K00-048(c) S.Imboden&amp;R&amp;8&amp;K00-048Seite &amp;P von &amp;N</oddFooter>
  </headerFooter>
  <rowBreaks count="1" manualBreakCount="1">
    <brk id="25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1A7D9509-AFAE-449A-9542-10CFA030EC13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D26:D96</xm:sqref>
        </x14:conditionalFormatting>
        <x14:conditionalFormatting xmlns:xm="http://schemas.microsoft.com/office/excel/2006/main">
          <x14:cfRule type="iconSet" priority="7" id="{11AE32DA-9E5E-4DE7-8B9A-A8436100FA6A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D98:D5191 D25</xm:sqref>
        </x14:conditionalFormatting>
        <x14:conditionalFormatting xmlns:xm="http://schemas.microsoft.com/office/excel/2006/main">
          <x14:cfRule type="iconSet" priority="2" id="{FA0EDD1F-AFAC-4DDC-9159-7A82E6F7D0AD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G5:G24</xm:sqref>
        </x14:conditionalFormatting>
        <x14:conditionalFormatting xmlns:xm="http://schemas.microsoft.com/office/excel/2006/main">
          <x14:cfRule type="iconSet" priority="3" id="{35095A0A-854F-42E2-AE7E-ECCD56D81FD7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J5:J24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>
    <tabColor theme="4" tint="0.39997558519241921"/>
  </sheetPr>
  <dimension ref="A1:S183"/>
  <sheetViews>
    <sheetView showGridLines="0" zoomScaleNormal="100" workbookViewId="0">
      <pane ySplit="1" topLeftCell="A2" activePane="bottomLeft" state="frozen"/>
      <selection activeCell="T14" sqref="T14"/>
      <selection pane="bottomLeft" activeCell="A2" sqref="A2"/>
    </sheetView>
  </sheetViews>
  <sheetFormatPr baseColWidth="10" defaultColWidth="11.44140625" defaultRowHeight="14.4" x14ac:dyDescent="0.3"/>
  <cols>
    <col min="1" max="1" width="7" customWidth="1"/>
    <col min="2" max="2" width="3.88671875" customWidth="1"/>
    <col min="3" max="3" width="31.44140625" customWidth="1"/>
    <col min="4" max="4" width="39.33203125" customWidth="1"/>
    <col min="5" max="5" width="11.6640625" bestFit="1" customWidth="1"/>
    <col min="6" max="6" width="7.33203125" bestFit="1" customWidth="1"/>
    <col min="7" max="7" width="40.6640625" bestFit="1" customWidth="1"/>
    <col min="8" max="8" width="6.6640625" customWidth="1"/>
    <col min="9" max="9" width="4.5546875" hidden="1" customWidth="1"/>
    <col min="10" max="10" width="3" customWidth="1"/>
    <col min="11" max="18" width="3.44140625" customWidth="1"/>
    <col min="19" max="19" width="11.44140625" customWidth="1"/>
  </cols>
  <sheetData>
    <row r="1" spans="1:19" s="2" customFormat="1" ht="43.95" customHeight="1" x14ac:dyDescent="0.3">
      <c r="A1" s="17"/>
      <c r="B1" s="4" t="str">
        <f ca="1">' '!A74</f>
        <v>A N A L Y S E   P E S T E L</v>
      </c>
      <c r="C1" s="4"/>
      <c r="D1" s="4"/>
      <c r="E1" s="4"/>
      <c r="F1" s="4"/>
      <c r="G1" s="6"/>
      <c r="H1" s="141"/>
      <c r="I1" s="4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2" customFormat="1" ht="0.9" customHeight="1" x14ac:dyDescent="0.3">
      <c r="A2" s="53"/>
      <c r="B2" s="19"/>
      <c r="C2" s="12"/>
      <c r="D2" s="12"/>
      <c r="E2" s="12"/>
      <c r="F2" s="12"/>
      <c r="G2" s="47"/>
      <c r="H2" s="56"/>
      <c r="I2" s="1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4.25" customHeight="1" x14ac:dyDescent="0.3">
      <c r="A3" s="13"/>
      <c r="B3" s="81"/>
    </row>
    <row r="4" spans="1:19" x14ac:dyDescent="0.3">
      <c r="A4" s="42"/>
      <c r="B4" s="8"/>
    </row>
    <row r="5" spans="1:19" x14ac:dyDescent="0.3">
      <c r="B5" s="7"/>
      <c r="C5" s="77" t="str">
        <f ca="1">' '!A75</f>
        <v>Facteurs d'influence politique</v>
      </c>
      <c r="D5" s="222">
        <f>IF(E27&lt;&gt;0,E27,0.1)</f>
        <v>3</v>
      </c>
    </row>
    <row r="6" spans="1:19" x14ac:dyDescent="0.3">
      <c r="B6" s="7"/>
      <c r="C6" s="77" t="str">
        <f ca="1">' '!A83</f>
        <v>Facteurs d'influence économique</v>
      </c>
      <c r="D6" s="222">
        <f>IF(E41&lt;&gt;0,E41,0.1)</f>
        <v>1</v>
      </c>
    </row>
    <row r="7" spans="1:19" x14ac:dyDescent="0.3">
      <c r="B7" s="7"/>
      <c r="C7" s="77" t="str">
        <f ca="1">' '!A84</f>
        <v>Facteurs d'influence sociologique</v>
      </c>
      <c r="D7" s="222">
        <f>IF(E55&lt;&gt;0,E55,0.1)</f>
        <v>2</v>
      </c>
    </row>
    <row r="8" spans="1:19" x14ac:dyDescent="0.3">
      <c r="B8" s="7"/>
      <c r="C8" s="77" t="str">
        <f ca="1">' '!A85</f>
        <v>Facteurs d'influence technologique</v>
      </c>
      <c r="D8" s="223">
        <f>IF(E69&lt;&gt;0,E69,0.1)</f>
        <v>1</v>
      </c>
    </row>
    <row r="9" spans="1:19" x14ac:dyDescent="0.3">
      <c r="B9" s="7"/>
      <c r="C9" s="77" t="str">
        <f ca="1">' '!A86</f>
        <v>Facteurs d'influence écologique</v>
      </c>
      <c r="D9" s="222">
        <f>IF(E83&lt;&gt;0,E83,0.1)</f>
        <v>0.1</v>
      </c>
    </row>
    <row r="10" spans="1:19" x14ac:dyDescent="0.3">
      <c r="B10" s="7"/>
      <c r="C10" s="77" t="str">
        <f ca="1">' '!A87</f>
        <v>Facteurs d'influence législative</v>
      </c>
      <c r="D10" s="78">
        <f>IF(E97&lt;&gt;0,E97,0.1)</f>
        <v>3</v>
      </c>
    </row>
    <row r="11" spans="1:19" x14ac:dyDescent="0.3">
      <c r="B11" s="7"/>
    </row>
    <row r="12" spans="1:19" x14ac:dyDescent="0.3">
      <c r="B12" s="7"/>
    </row>
    <row r="13" spans="1:19" x14ac:dyDescent="0.3">
      <c r="B13" s="7"/>
    </row>
    <row r="14" spans="1:19" ht="288.75" customHeight="1" x14ac:dyDescent="0.3"/>
    <row r="15" spans="1:19" ht="21" x14ac:dyDescent="0.4">
      <c r="B15" s="224"/>
      <c r="C15" s="225" t="str">
        <f ca="1">' '!A75</f>
        <v>Facteurs d'influence politique</v>
      </c>
      <c r="D15" s="226"/>
      <c r="E15" s="226"/>
      <c r="F15" s="226"/>
      <c r="G15" s="226"/>
      <c r="H15" s="226"/>
    </row>
    <row r="16" spans="1:19" s="9" customFormat="1" ht="30" customHeight="1" x14ac:dyDescent="0.3">
      <c r="A16"/>
      <c r="B16" s="227" t="str">
        <f ca="1">' '!A76</f>
        <v>No.</v>
      </c>
      <c r="C16" s="227" t="str">
        <f ca="1">' '!A77</f>
        <v>Facteurs d'influence</v>
      </c>
      <c r="D16" s="227" t="str">
        <f ca="1">' '!A78</f>
        <v>Impact</v>
      </c>
      <c r="E16" s="227" t="str">
        <f ca="1">' '!A79</f>
        <v>Intensité de l'impact</v>
      </c>
      <c r="F16" s="228" t="str">
        <f ca="1">' '!A80</f>
        <v>Ten-
dance</v>
      </c>
      <c r="G16" s="227" t="str">
        <f ca="1">' '!A81</f>
        <v>Mesures possibles</v>
      </c>
      <c r="H16" s="228" t="str">
        <f ca="1">' '!A82</f>
        <v>Statut</v>
      </c>
      <c r="I16">
        <f ca="1">COUNTIF(H16:H26,1)</f>
        <v>1</v>
      </c>
    </row>
    <row r="17" spans="2:12" ht="23.4" x14ac:dyDescent="0.3">
      <c r="B17" s="229">
        <v>1</v>
      </c>
      <c r="C17" s="230"/>
      <c r="D17" s="230"/>
      <c r="E17" s="231">
        <v>3</v>
      </c>
      <c r="F17" s="232">
        <v>2</v>
      </c>
      <c r="G17" s="230"/>
      <c r="H17" s="233">
        <v>1</v>
      </c>
      <c r="I17">
        <f>COUNTIF(H17:H26,2)</f>
        <v>0</v>
      </c>
    </row>
    <row r="18" spans="2:12" ht="23.4" x14ac:dyDescent="0.3">
      <c r="B18" s="234">
        <f t="shared" ref="B18:B26" si="0">$B17+1</f>
        <v>2</v>
      </c>
      <c r="C18" s="235"/>
      <c r="D18" s="235"/>
      <c r="E18" s="236">
        <v>4</v>
      </c>
      <c r="F18" s="237"/>
      <c r="G18" s="235"/>
      <c r="H18" s="238"/>
      <c r="I18">
        <f>COUNTIF(H18:H27,3)</f>
        <v>0</v>
      </c>
    </row>
    <row r="19" spans="2:12" ht="23.4" x14ac:dyDescent="0.3">
      <c r="B19" s="239">
        <f t="shared" si="0"/>
        <v>3</v>
      </c>
      <c r="C19" s="230"/>
      <c r="D19" s="230"/>
      <c r="E19" s="231">
        <v>4</v>
      </c>
      <c r="F19" s="232"/>
      <c r="G19" s="230"/>
      <c r="H19" s="233"/>
    </row>
    <row r="20" spans="2:12" ht="23.4" x14ac:dyDescent="0.3">
      <c r="B20" s="234">
        <f t="shared" si="0"/>
        <v>4</v>
      </c>
      <c r="C20" s="235"/>
      <c r="D20" s="235"/>
      <c r="E20" s="236"/>
      <c r="F20" s="237"/>
      <c r="G20" s="235"/>
      <c r="H20" s="238"/>
    </row>
    <row r="21" spans="2:12" ht="23.4" x14ac:dyDescent="0.3">
      <c r="B21" s="239">
        <f t="shared" si="0"/>
        <v>5</v>
      </c>
      <c r="C21" s="230"/>
      <c r="D21" s="230"/>
      <c r="E21" s="231"/>
      <c r="F21" s="232"/>
      <c r="G21" s="230"/>
      <c r="H21" s="233"/>
    </row>
    <row r="22" spans="2:12" ht="23.4" x14ac:dyDescent="0.3">
      <c r="B22" s="234">
        <f t="shared" si="0"/>
        <v>6</v>
      </c>
      <c r="C22" s="235"/>
      <c r="D22" s="235"/>
      <c r="E22" s="236"/>
      <c r="F22" s="237"/>
      <c r="G22" s="235"/>
      <c r="H22" s="238"/>
    </row>
    <row r="23" spans="2:12" ht="23.4" x14ac:dyDescent="0.3">
      <c r="B23" s="239">
        <f t="shared" si="0"/>
        <v>7</v>
      </c>
      <c r="C23" s="230"/>
      <c r="D23" s="230"/>
      <c r="E23" s="231"/>
      <c r="F23" s="232"/>
      <c r="G23" s="230"/>
      <c r="H23" s="233"/>
    </row>
    <row r="24" spans="2:12" ht="23.4" x14ac:dyDescent="0.3">
      <c r="B24" s="234">
        <f t="shared" si="0"/>
        <v>8</v>
      </c>
      <c r="C24" s="235"/>
      <c r="D24" s="235"/>
      <c r="E24" s="236"/>
      <c r="F24" s="237"/>
      <c r="G24" s="235"/>
      <c r="H24" s="238"/>
    </row>
    <row r="25" spans="2:12" ht="23.4" x14ac:dyDescent="0.3">
      <c r="B25" s="239">
        <f t="shared" si="0"/>
        <v>9</v>
      </c>
      <c r="C25" s="230"/>
      <c r="D25" s="230"/>
      <c r="E25" s="231"/>
      <c r="F25" s="232"/>
      <c r="G25" s="230"/>
      <c r="H25" s="233"/>
    </row>
    <row r="26" spans="2:12" ht="23.4" x14ac:dyDescent="0.3">
      <c r="B26" s="234">
        <f t="shared" si="0"/>
        <v>10</v>
      </c>
      <c r="C26" s="235"/>
      <c r="D26" s="235"/>
      <c r="E26" s="236"/>
      <c r="F26" s="237"/>
      <c r="G26" s="235"/>
      <c r="H26" s="238"/>
    </row>
    <row r="27" spans="2:12" x14ac:dyDescent="0.3">
      <c r="B27" s="21"/>
      <c r="C27" s="9"/>
      <c r="D27" s="240" t="e">
        <f>' '!#REF!</f>
        <v>#REF!</v>
      </c>
      <c r="E27" s="241">
        <f>COUNTIFS(E17:E26,"&lt;=4",E17:E26,"&gt;=3")</f>
        <v>3</v>
      </c>
      <c r="F27" s="9"/>
      <c r="G27" s="146"/>
      <c r="H27" s="9"/>
      <c r="I27" s="9"/>
    </row>
    <row r="28" spans="2:12" x14ac:dyDescent="0.3">
      <c r="B28" s="9"/>
      <c r="C28" s="9"/>
      <c r="D28" s="9"/>
      <c r="E28" s="9"/>
      <c r="F28" s="9"/>
      <c r="G28" s="9"/>
      <c r="H28" s="9"/>
    </row>
    <row r="29" spans="2:12" ht="21" x14ac:dyDescent="0.3">
      <c r="B29" s="242"/>
      <c r="C29" s="243" t="str">
        <f ca="1">' '!A83</f>
        <v>Facteurs d'influence économique</v>
      </c>
      <c r="D29" s="244"/>
      <c r="E29" s="244"/>
      <c r="F29" s="244"/>
      <c r="G29" s="244"/>
      <c r="H29" s="244"/>
    </row>
    <row r="30" spans="2:12" ht="27.6" x14ac:dyDescent="0.3">
      <c r="B30" s="245" t="str">
        <f ca="1">B16</f>
        <v>No.</v>
      </c>
      <c r="C30" s="246" t="str">
        <f ca="1">C16</f>
        <v>Facteurs d'influence</v>
      </c>
      <c r="D30" s="246" t="str">
        <f ca="1">D16</f>
        <v>Impact</v>
      </c>
      <c r="E30" s="247" t="str">
        <f t="shared" ref="E30:H30" ca="1" si="1">E16</f>
        <v>Intensité de l'impact</v>
      </c>
      <c r="F30" s="247" t="str">
        <f t="shared" ca="1" si="1"/>
        <v>Ten-
dance</v>
      </c>
      <c r="G30" s="246" t="str">
        <f t="shared" ca="1" si="1"/>
        <v>Mesures possibles</v>
      </c>
      <c r="H30" s="248" t="str">
        <f t="shared" ca="1" si="1"/>
        <v>Statut</v>
      </c>
      <c r="I30">
        <f ca="1">COUNTIF(H30:H40,1)</f>
        <v>0</v>
      </c>
    </row>
    <row r="31" spans="2:12" ht="23.4" x14ac:dyDescent="0.3">
      <c r="B31" s="249">
        <v>1</v>
      </c>
      <c r="C31" s="250"/>
      <c r="D31" s="250"/>
      <c r="E31" s="251">
        <v>4</v>
      </c>
      <c r="F31" s="252">
        <v>1</v>
      </c>
      <c r="G31" s="250"/>
      <c r="H31" s="253">
        <v>3</v>
      </c>
      <c r="I31">
        <f ca="1">COUNTIF(H30:H40,2)</f>
        <v>1</v>
      </c>
    </row>
    <row r="32" spans="2:12" ht="23.4" x14ac:dyDescent="0.3">
      <c r="B32" s="254">
        <f t="shared" ref="B32:B40" si="2">$B31+1</f>
        <v>2</v>
      </c>
      <c r="C32" s="255"/>
      <c r="D32" s="255"/>
      <c r="E32" s="256"/>
      <c r="F32" s="257"/>
      <c r="G32" s="255"/>
      <c r="H32" s="258">
        <v>2</v>
      </c>
      <c r="I32">
        <f ca="1">COUNTIF(H30:H41,3)</f>
        <v>1</v>
      </c>
      <c r="K32" s="23"/>
      <c r="L32" s="11"/>
    </row>
    <row r="33" spans="2:9" ht="23.4" x14ac:dyDescent="0.3">
      <c r="B33" s="249">
        <f t="shared" si="2"/>
        <v>3</v>
      </c>
      <c r="C33" s="250"/>
      <c r="D33" s="250"/>
      <c r="E33" s="251"/>
      <c r="F33" s="252"/>
      <c r="G33" s="250"/>
      <c r="H33" s="253"/>
    </row>
    <row r="34" spans="2:9" ht="23.4" x14ac:dyDescent="0.3">
      <c r="B34" s="254">
        <f t="shared" si="2"/>
        <v>4</v>
      </c>
      <c r="C34" s="255"/>
      <c r="D34" s="255"/>
      <c r="E34" s="256"/>
      <c r="F34" s="257"/>
      <c r="G34" s="255"/>
      <c r="H34" s="258"/>
    </row>
    <row r="35" spans="2:9" ht="23.4" x14ac:dyDescent="0.3">
      <c r="B35" s="249">
        <f t="shared" si="2"/>
        <v>5</v>
      </c>
      <c r="C35" s="250"/>
      <c r="D35" s="250"/>
      <c r="E35" s="251"/>
      <c r="F35" s="252"/>
      <c r="G35" s="250"/>
      <c r="H35" s="253"/>
    </row>
    <row r="36" spans="2:9" ht="23.4" x14ac:dyDescent="0.3">
      <c r="B36" s="254">
        <f t="shared" si="2"/>
        <v>6</v>
      </c>
      <c r="C36" s="255"/>
      <c r="D36" s="255"/>
      <c r="E36" s="256"/>
      <c r="F36" s="257"/>
      <c r="G36" s="255"/>
      <c r="H36" s="258"/>
    </row>
    <row r="37" spans="2:9" ht="23.4" x14ac:dyDescent="0.3">
      <c r="B37" s="249">
        <f t="shared" si="2"/>
        <v>7</v>
      </c>
      <c r="C37" s="250"/>
      <c r="D37" s="250"/>
      <c r="E37" s="251"/>
      <c r="F37" s="252"/>
      <c r="G37" s="250"/>
      <c r="H37" s="253"/>
    </row>
    <row r="38" spans="2:9" ht="23.4" x14ac:dyDescent="0.3">
      <c r="B38" s="254">
        <f t="shared" si="2"/>
        <v>8</v>
      </c>
      <c r="C38" s="255"/>
      <c r="D38" s="255"/>
      <c r="E38" s="256"/>
      <c r="F38" s="257"/>
      <c r="G38" s="255"/>
      <c r="H38" s="258"/>
    </row>
    <row r="39" spans="2:9" ht="23.4" x14ac:dyDescent="0.3">
      <c r="B39" s="249">
        <f t="shared" si="2"/>
        <v>9</v>
      </c>
      <c r="C39" s="250"/>
      <c r="D39" s="250"/>
      <c r="E39" s="251"/>
      <c r="F39" s="252"/>
      <c r="G39" s="250"/>
      <c r="H39" s="253"/>
    </row>
    <row r="40" spans="2:9" ht="23.4" x14ac:dyDescent="0.3">
      <c r="B40" s="259">
        <f t="shared" si="2"/>
        <v>10</v>
      </c>
      <c r="C40" s="260"/>
      <c r="D40" s="260"/>
      <c r="E40" s="261"/>
      <c r="F40" s="262"/>
      <c r="G40" s="260"/>
      <c r="H40" s="263"/>
    </row>
    <row r="41" spans="2:9" x14ac:dyDescent="0.3">
      <c r="B41" s="21"/>
      <c r="C41" s="9"/>
      <c r="D41" s="240" t="e">
        <f>' '!#REF!</f>
        <v>#REF!</v>
      </c>
      <c r="E41" s="241">
        <f>COUNTIFS(E31:E40,"&lt;=4",E31:E40,"&gt;=3")</f>
        <v>1</v>
      </c>
      <c r="F41" s="9"/>
      <c r="G41" s="9"/>
      <c r="H41" s="9"/>
      <c r="I41" s="9"/>
    </row>
    <row r="42" spans="2:9" x14ac:dyDescent="0.3">
      <c r="B42" s="9"/>
      <c r="C42" s="9"/>
      <c r="D42" s="9"/>
      <c r="E42" s="9"/>
      <c r="F42" s="9"/>
      <c r="G42" s="9"/>
      <c r="H42" s="9"/>
    </row>
    <row r="43" spans="2:9" ht="21" x14ac:dyDescent="0.3">
      <c r="B43" s="264"/>
      <c r="C43" s="265" t="str">
        <f ca="1">' '!A84</f>
        <v>Facteurs d'influence sociologique</v>
      </c>
      <c r="D43" s="266"/>
      <c r="E43" s="266"/>
      <c r="F43" s="266"/>
      <c r="G43" s="266"/>
      <c r="H43" s="266"/>
    </row>
    <row r="44" spans="2:9" ht="27.6" x14ac:dyDescent="0.3">
      <c r="B44" s="267" t="str">
        <f ca="1">B16</f>
        <v>No.</v>
      </c>
      <c r="C44" s="268" t="str">
        <f ca="1">C16</f>
        <v>Facteurs d'influence</v>
      </c>
      <c r="D44" s="268" t="str">
        <f ca="1">D16</f>
        <v>Impact</v>
      </c>
      <c r="E44" s="269" t="str">
        <f t="shared" ref="E44:H44" ca="1" si="3">E16</f>
        <v>Intensité de l'impact</v>
      </c>
      <c r="F44" s="269" t="str">
        <f t="shared" ca="1" si="3"/>
        <v>Ten-
dance</v>
      </c>
      <c r="G44" s="268" t="str">
        <f t="shared" ca="1" si="3"/>
        <v>Mesures possibles</v>
      </c>
      <c r="H44" s="270" t="str">
        <f t="shared" ca="1" si="3"/>
        <v>Statut</v>
      </c>
      <c r="I44">
        <f ca="1">COUNTIF(H44:H54,1)</f>
        <v>1</v>
      </c>
    </row>
    <row r="45" spans="2:9" ht="23.4" x14ac:dyDescent="0.3">
      <c r="B45" s="271">
        <v>1</v>
      </c>
      <c r="C45" s="272"/>
      <c r="D45" s="272"/>
      <c r="E45" s="273">
        <v>3</v>
      </c>
      <c r="F45" s="274">
        <v>1</v>
      </c>
      <c r="G45" s="272"/>
      <c r="H45" s="275">
        <v>1</v>
      </c>
      <c r="I45">
        <f ca="1">COUNTIF(H44:H54,2)</f>
        <v>0</v>
      </c>
    </row>
    <row r="46" spans="2:9" ht="23.4" x14ac:dyDescent="0.3">
      <c r="B46" s="276">
        <f t="shared" ref="B46:B54" si="4">$B45+1</f>
        <v>2</v>
      </c>
      <c r="C46" s="277"/>
      <c r="D46" s="277"/>
      <c r="E46" s="278">
        <v>4</v>
      </c>
      <c r="F46" s="279"/>
      <c r="G46" s="277"/>
      <c r="H46" s="280"/>
      <c r="I46">
        <f ca="1">COUNTIF(H44:H55,3)</f>
        <v>0</v>
      </c>
    </row>
    <row r="47" spans="2:9" ht="23.4" x14ac:dyDescent="0.3">
      <c r="B47" s="271">
        <f t="shared" si="4"/>
        <v>3</v>
      </c>
      <c r="C47" s="272"/>
      <c r="D47" s="272"/>
      <c r="E47" s="273"/>
      <c r="F47" s="274"/>
      <c r="G47" s="272"/>
      <c r="H47" s="275"/>
    </row>
    <row r="48" spans="2:9" ht="23.4" x14ac:dyDescent="0.3">
      <c r="B48" s="276">
        <f t="shared" si="4"/>
        <v>4</v>
      </c>
      <c r="C48" s="277"/>
      <c r="D48" s="277"/>
      <c r="E48" s="278"/>
      <c r="F48" s="279"/>
      <c r="G48" s="277"/>
      <c r="H48" s="280"/>
    </row>
    <row r="49" spans="1:9" ht="23.4" x14ac:dyDescent="0.3">
      <c r="B49" s="271">
        <f t="shared" si="4"/>
        <v>5</v>
      </c>
      <c r="C49" s="272"/>
      <c r="D49" s="272"/>
      <c r="E49" s="273"/>
      <c r="F49" s="274"/>
      <c r="G49" s="272"/>
      <c r="H49" s="275"/>
    </row>
    <row r="50" spans="1:9" ht="23.4" x14ac:dyDescent="0.3">
      <c r="B50" s="276">
        <f t="shared" si="4"/>
        <v>6</v>
      </c>
      <c r="C50" s="277"/>
      <c r="D50" s="277"/>
      <c r="E50" s="278"/>
      <c r="F50" s="279"/>
      <c r="G50" s="277"/>
      <c r="H50" s="280"/>
    </row>
    <row r="51" spans="1:9" ht="23.4" x14ac:dyDescent="0.3">
      <c r="B51" s="271">
        <f t="shared" si="4"/>
        <v>7</v>
      </c>
      <c r="C51" s="272"/>
      <c r="D51" s="272"/>
      <c r="E51" s="273"/>
      <c r="F51" s="274"/>
      <c r="G51" s="272"/>
      <c r="H51" s="275"/>
    </row>
    <row r="52" spans="1:9" ht="23.4" x14ac:dyDescent="0.3">
      <c r="B52" s="276">
        <f t="shared" si="4"/>
        <v>8</v>
      </c>
      <c r="C52" s="277"/>
      <c r="D52" s="277"/>
      <c r="E52" s="278"/>
      <c r="F52" s="279"/>
      <c r="G52" s="277"/>
      <c r="H52" s="280"/>
    </row>
    <row r="53" spans="1:9" ht="23.4" x14ac:dyDescent="0.3">
      <c r="B53" s="271">
        <f t="shared" si="4"/>
        <v>9</v>
      </c>
      <c r="C53" s="272"/>
      <c r="D53" s="272"/>
      <c r="E53" s="273"/>
      <c r="F53" s="274"/>
      <c r="G53" s="272"/>
      <c r="H53" s="275"/>
    </row>
    <row r="54" spans="1:9" ht="23.4" x14ac:dyDescent="0.3">
      <c r="B54" s="281">
        <f t="shared" si="4"/>
        <v>10</v>
      </c>
      <c r="C54" s="282"/>
      <c r="D54" s="282"/>
      <c r="E54" s="283"/>
      <c r="F54" s="284"/>
      <c r="G54" s="282"/>
      <c r="H54" s="285"/>
    </row>
    <row r="55" spans="1:9" x14ac:dyDescent="0.3">
      <c r="B55" s="21"/>
      <c r="C55" s="9"/>
      <c r="D55" s="240" t="e">
        <f>' '!#REF!</f>
        <v>#REF!</v>
      </c>
      <c r="E55" s="241">
        <f>COUNTIFS(E45:E54,"&lt;=4",E45:E54,"&gt;=3")</f>
        <v>2</v>
      </c>
      <c r="F55" s="9"/>
      <c r="G55" s="9"/>
      <c r="H55" s="9"/>
      <c r="I55" s="9"/>
    </row>
    <row r="56" spans="1:9" x14ac:dyDescent="0.3">
      <c r="B56" s="9"/>
      <c r="C56" s="9"/>
      <c r="D56" s="9"/>
      <c r="E56" s="9"/>
      <c r="F56" s="9"/>
      <c r="G56" s="9"/>
      <c r="H56" s="9"/>
    </row>
    <row r="57" spans="1:9" ht="21" x14ac:dyDescent="0.3">
      <c r="B57" s="286"/>
      <c r="C57" s="287" t="str">
        <f ca="1">' '!A85</f>
        <v>Facteurs d'influence technologique</v>
      </c>
      <c r="D57" s="288"/>
      <c r="E57" s="288"/>
      <c r="F57" s="288"/>
      <c r="G57" s="288"/>
      <c r="H57" s="288"/>
    </row>
    <row r="58" spans="1:9" s="14" customFormat="1" ht="27.6" x14ac:dyDescent="0.3">
      <c r="A58"/>
      <c r="B58" s="289" t="str">
        <f ca="1">B16</f>
        <v>No.</v>
      </c>
      <c r="C58" s="290" t="str">
        <f ca="1">C16</f>
        <v>Facteurs d'influence</v>
      </c>
      <c r="D58" s="290" t="str">
        <f ca="1">D16</f>
        <v>Impact</v>
      </c>
      <c r="E58" s="291" t="str">
        <f t="shared" ref="E58:H58" ca="1" si="5">E16</f>
        <v>Intensité de l'impact</v>
      </c>
      <c r="F58" s="291" t="str">
        <f t="shared" ca="1" si="5"/>
        <v>Ten-
dance</v>
      </c>
      <c r="G58" s="290" t="str">
        <f t="shared" ca="1" si="5"/>
        <v>Mesures possibles</v>
      </c>
      <c r="H58" s="292" t="str">
        <f t="shared" ca="1" si="5"/>
        <v>Statut</v>
      </c>
      <c r="I58">
        <f ca="1">COUNTIF(H58:H68,1)</f>
        <v>1</v>
      </c>
    </row>
    <row r="59" spans="1:9" ht="23.4" x14ac:dyDescent="0.3">
      <c r="B59" s="293">
        <v>1</v>
      </c>
      <c r="C59" s="294"/>
      <c r="D59" s="294"/>
      <c r="E59" s="295">
        <v>4</v>
      </c>
      <c r="F59" s="296">
        <v>1</v>
      </c>
      <c r="G59" s="294"/>
      <c r="H59" s="297">
        <v>1</v>
      </c>
      <c r="I59">
        <f ca="1">COUNTIF(H58:H68,2)</f>
        <v>0</v>
      </c>
    </row>
    <row r="60" spans="1:9" ht="23.4" x14ac:dyDescent="0.3">
      <c r="B60" s="298">
        <f t="shared" ref="B60:B68" si="6">$B59+1</f>
        <v>2</v>
      </c>
      <c r="C60" s="299"/>
      <c r="D60" s="299"/>
      <c r="E60" s="300"/>
      <c r="F60" s="301"/>
      <c r="G60" s="299"/>
      <c r="H60" s="302"/>
      <c r="I60">
        <f ca="1">COUNTIF(H58:H69,3)</f>
        <v>0</v>
      </c>
    </row>
    <row r="61" spans="1:9" ht="23.4" x14ac:dyDescent="0.3">
      <c r="B61" s="293">
        <f t="shared" si="6"/>
        <v>3</v>
      </c>
      <c r="C61" s="294"/>
      <c r="D61" s="294"/>
      <c r="E61" s="295"/>
      <c r="F61" s="296"/>
      <c r="G61" s="294"/>
      <c r="H61" s="297"/>
    </row>
    <row r="62" spans="1:9" ht="23.4" x14ac:dyDescent="0.3">
      <c r="B62" s="298">
        <f t="shared" si="6"/>
        <v>4</v>
      </c>
      <c r="C62" s="299"/>
      <c r="D62" s="299"/>
      <c r="E62" s="300"/>
      <c r="F62" s="301"/>
      <c r="G62" s="299"/>
      <c r="H62" s="302"/>
    </row>
    <row r="63" spans="1:9" ht="23.4" x14ac:dyDescent="0.3">
      <c r="B63" s="293">
        <f t="shared" si="6"/>
        <v>5</v>
      </c>
      <c r="C63" s="294"/>
      <c r="D63" s="294"/>
      <c r="E63" s="295"/>
      <c r="F63" s="296"/>
      <c r="G63" s="294"/>
      <c r="H63" s="297"/>
    </row>
    <row r="64" spans="1:9" ht="23.4" x14ac:dyDescent="0.3">
      <c r="B64" s="298">
        <f t="shared" si="6"/>
        <v>6</v>
      </c>
      <c r="C64" s="299"/>
      <c r="D64" s="299"/>
      <c r="E64" s="300"/>
      <c r="F64" s="301"/>
      <c r="G64" s="299"/>
      <c r="H64" s="302"/>
    </row>
    <row r="65" spans="1:9" ht="23.4" x14ac:dyDescent="0.3">
      <c r="B65" s="293">
        <f t="shared" si="6"/>
        <v>7</v>
      </c>
      <c r="C65" s="294"/>
      <c r="D65" s="294"/>
      <c r="E65" s="295"/>
      <c r="F65" s="296"/>
      <c r="G65" s="294"/>
      <c r="H65" s="297"/>
    </row>
    <row r="66" spans="1:9" ht="23.4" x14ac:dyDescent="0.3">
      <c r="B66" s="298">
        <f t="shared" si="6"/>
        <v>8</v>
      </c>
      <c r="C66" s="299"/>
      <c r="D66" s="299"/>
      <c r="E66" s="300"/>
      <c r="F66" s="301"/>
      <c r="G66" s="299"/>
      <c r="H66" s="302"/>
    </row>
    <row r="67" spans="1:9" ht="23.4" x14ac:dyDescent="0.3">
      <c r="B67" s="293">
        <f t="shared" si="6"/>
        <v>9</v>
      </c>
      <c r="C67" s="294"/>
      <c r="D67" s="294"/>
      <c r="E67" s="295"/>
      <c r="F67" s="296"/>
      <c r="G67" s="294"/>
      <c r="H67" s="297"/>
    </row>
    <row r="68" spans="1:9" ht="23.4" x14ac:dyDescent="0.3">
      <c r="B68" s="303">
        <f t="shared" si="6"/>
        <v>10</v>
      </c>
      <c r="C68" s="304"/>
      <c r="D68" s="304"/>
      <c r="E68" s="305"/>
      <c r="F68" s="306"/>
      <c r="G68" s="304"/>
      <c r="H68" s="307"/>
    </row>
    <row r="69" spans="1:9" x14ac:dyDescent="0.3">
      <c r="B69" s="21"/>
      <c r="C69" s="9"/>
      <c r="D69" s="240" t="e">
        <f>' '!#REF!</f>
        <v>#REF!</v>
      </c>
      <c r="E69" s="241">
        <f>COUNTIFS(E59:E68,"&lt;=4",E59:E68,"&gt;=3")</f>
        <v>1</v>
      </c>
      <c r="F69" s="9"/>
      <c r="G69" s="9"/>
      <c r="H69" s="9"/>
      <c r="I69" s="9"/>
    </row>
    <row r="70" spans="1:9" x14ac:dyDescent="0.3">
      <c r="B70" s="9"/>
      <c r="C70" s="9"/>
      <c r="D70" s="9"/>
      <c r="E70" s="9"/>
      <c r="F70" s="9"/>
      <c r="G70" s="9"/>
      <c r="H70" s="9"/>
    </row>
    <row r="71" spans="1:9" ht="21" x14ac:dyDescent="0.3">
      <c r="B71" s="308"/>
      <c r="C71" s="309" t="str">
        <f ca="1">' '!A86</f>
        <v>Facteurs d'influence écologique</v>
      </c>
      <c r="D71" s="310"/>
      <c r="E71" s="310"/>
      <c r="F71" s="310"/>
      <c r="G71" s="310"/>
      <c r="H71" s="310"/>
    </row>
    <row r="72" spans="1:9" s="14" customFormat="1" ht="27.6" x14ac:dyDescent="0.3">
      <c r="A72"/>
      <c r="B72" s="311" t="str">
        <f ca="1">B16</f>
        <v>No.</v>
      </c>
      <c r="C72" s="312" t="str">
        <f ca="1">C16</f>
        <v>Facteurs d'influence</v>
      </c>
      <c r="D72" s="312" t="str">
        <f ca="1">D16</f>
        <v>Impact</v>
      </c>
      <c r="E72" s="313" t="str">
        <f t="shared" ref="E72:H72" ca="1" si="7">E16</f>
        <v>Intensité de l'impact</v>
      </c>
      <c r="F72" s="313" t="str">
        <f t="shared" ca="1" si="7"/>
        <v>Ten-
dance</v>
      </c>
      <c r="G72" s="312" t="str">
        <f t="shared" ca="1" si="7"/>
        <v>Mesures possibles</v>
      </c>
      <c r="H72" s="314" t="str">
        <f t="shared" ca="1" si="7"/>
        <v>Statut</v>
      </c>
      <c r="I72">
        <f ca="1">COUNTIF(H72:H82,1)</f>
        <v>2</v>
      </c>
    </row>
    <row r="73" spans="1:9" ht="23.4" x14ac:dyDescent="0.3">
      <c r="B73" s="315">
        <v>1</v>
      </c>
      <c r="C73" s="316"/>
      <c r="D73" s="316"/>
      <c r="E73" s="317">
        <v>1</v>
      </c>
      <c r="F73" s="318">
        <v>1</v>
      </c>
      <c r="G73" s="316"/>
      <c r="H73" s="319">
        <v>1</v>
      </c>
      <c r="I73">
        <f ca="1">COUNTIF(H72:H82,2)</f>
        <v>0</v>
      </c>
    </row>
    <row r="74" spans="1:9" ht="23.4" x14ac:dyDescent="0.3">
      <c r="B74" s="320">
        <f t="shared" ref="B74:B82" si="8">$B73+1</f>
        <v>2</v>
      </c>
      <c r="C74" s="321"/>
      <c r="D74" s="321"/>
      <c r="E74" s="322"/>
      <c r="F74" s="323"/>
      <c r="G74" s="321"/>
      <c r="H74" s="324">
        <v>1</v>
      </c>
      <c r="I74">
        <f ca="1">COUNTIF(H72:H83,3)</f>
        <v>0</v>
      </c>
    </row>
    <row r="75" spans="1:9" ht="23.4" x14ac:dyDescent="0.3">
      <c r="B75" s="315">
        <f t="shared" si="8"/>
        <v>3</v>
      </c>
      <c r="C75" s="316"/>
      <c r="D75" s="316"/>
      <c r="E75" s="317"/>
      <c r="F75" s="318"/>
      <c r="G75" s="316"/>
      <c r="H75" s="319"/>
    </row>
    <row r="76" spans="1:9" ht="23.4" x14ac:dyDescent="0.3">
      <c r="B76" s="320">
        <f t="shared" si="8"/>
        <v>4</v>
      </c>
      <c r="C76" s="321"/>
      <c r="D76" s="321"/>
      <c r="E76" s="322"/>
      <c r="F76" s="323"/>
      <c r="G76" s="321"/>
      <c r="H76" s="324"/>
    </row>
    <row r="77" spans="1:9" ht="23.4" x14ac:dyDescent="0.3">
      <c r="B77" s="315">
        <f t="shared" si="8"/>
        <v>5</v>
      </c>
      <c r="C77" s="316"/>
      <c r="D77" s="316"/>
      <c r="E77" s="317"/>
      <c r="F77" s="318"/>
      <c r="G77" s="316"/>
      <c r="H77" s="319"/>
    </row>
    <row r="78" spans="1:9" ht="23.4" x14ac:dyDescent="0.3">
      <c r="B78" s="320">
        <f t="shared" si="8"/>
        <v>6</v>
      </c>
      <c r="C78" s="321"/>
      <c r="D78" s="321"/>
      <c r="E78" s="322"/>
      <c r="F78" s="323"/>
      <c r="G78" s="321"/>
      <c r="H78" s="324"/>
    </row>
    <row r="79" spans="1:9" ht="23.4" x14ac:dyDescent="0.3">
      <c r="B79" s="315">
        <f t="shared" si="8"/>
        <v>7</v>
      </c>
      <c r="C79" s="316"/>
      <c r="D79" s="316"/>
      <c r="E79" s="317"/>
      <c r="F79" s="318"/>
      <c r="G79" s="316"/>
      <c r="H79" s="319"/>
    </row>
    <row r="80" spans="1:9" ht="23.4" x14ac:dyDescent="0.3">
      <c r="B80" s="320">
        <f t="shared" si="8"/>
        <v>8</v>
      </c>
      <c r="C80" s="321"/>
      <c r="D80" s="321"/>
      <c r="E80" s="322"/>
      <c r="F80" s="323"/>
      <c r="G80" s="321"/>
      <c r="H80" s="324"/>
    </row>
    <row r="81" spans="1:9" ht="23.4" x14ac:dyDescent="0.3">
      <c r="B81" s="315">
        <f t="shared" si="8"/>
        <v>9</v>
      </c>
      <c r="C81" s="316"/>
      <c r="D81" s="316"/>
      <c r="E81" s="317"/>
      <c r="F81" s="318"/>
      <c r="G81" s="316"/>
      <c r="H81" s="319"/>
    </row>
    <row r="82" spans="1:9" ht="23.4" x14ac:dyDescent="0.3">
      <c r="B82" s="325">
        <f t="shared" si="8"/>
        <v>10</v>
      </c>
      <c r="C82" s="326"/>
      <c r="D82" s="326"/>
      <c r="E82" s="327"/>
      <c r="F82" s="328"/>
      <c r="G82" s="326"/>
      <c r="H82" s="329"/>
    </row>
    <row r="83" spans="1:9" x14ac:dyDescent="0.3">
      <c r="B83" s="21"/>
      <c r="C83" s="9"/>
      <c r="D83" s="240" t="e">
        <f>' '!#REF!</f>
        <v>#REF!</v>
      </c>
      <c r="E83" s="241">
        <f>COUNTIFS(E73:E82,"&lt;=4",E73:E82,"&gt;=3")</f>
        <v>0</v>
      </c>
      <c r="F83" s="9"/>
      <c r="G83" s="9"/>
      <c r="H83" s="9"/>
      <c r="I83" s="9"/>
    </row>
    <row r="84" spans="1:9" x14ac:dyDescent="0.3">
      <c r="B84" s="9"/>
      <c r="C84" s="9"/>
      <c r="D84" s="9"/>
      <c r="E84" s="9"/>
      <c r="F84" s="9"/>
      <c r="G84" s="9"/>
      <c r="H84" s="9"/>
    </row>
    <row r="85" spans="1:9" ht="21" x14ac:dyDescent="0.3">
      <c r="B85" s="330"/>
      <c r="C85" s="331" t="str">
        <f ca="1">' '!A87</f>
        <v>Facteurs d'influence législative</v>
      </c>
      <c r="D85" s="332"/>
      <c r="E85" s="332"/>
      <c r="F85" s="332"/>
      <c r="G85" s="332"/>
      <c r="H85" s="332"/>
    </row>
    <row r="86" spans="1:9" s="14" customFormat="1" ht="27.6" x14ac:dyDescent="0.3">
      <c r="A86"/>
      <c r="B86" s="333" t="str">
        <f ca="1">B16</f>
        <v>No.</v>
      </c>
      <c r="C86" s="333" t="str">
        <f ca="1">C16</f>
        <v>Facteurs d'influence</v>
      </c>
      <c r="D86" s="333" t="str">
        <f ca="1">D16</f>
        <v>Impact</v>
      </c>
      <c r="E86" s="334" t="str">
        <f t="shared" ref="E86:H86" ca="1" si="9">E16</f>
        <v>Intensité de l'impact</v>
      </c>
      <c r="F86" s="334" t="str">
        <f t="shared" ca="1" si="9"/>
        <v>Ten-
dance</v>
      </c>
      <c r="G86" s="333" t="str">
        <f t="shared" ca="1" si="9"/>
        <v>Mesures possibles</v>
      </c>
      <c r="H86" s="334" t="str">
        <f t="shared" ca="1" si="9"/>
        <v>Statut</v>
      </c>
      <c r="I86">
        <f ca="1">COUNTIF(H86:H96,1)</f>
        <v>0</v>
      </c>
    </row>
    <row r="87" spans="1:9" ht="23.4" x14ac:dyDescent="0.3">
      <c r="B87" s="335">
        <v>1</v>
      </c>
      <c r="C87" s="336"/>
      <c r="D87" s="336"/>
      <c r="E87" s="337">
        <v>4</v>
      </c>
      <c r="F87" s="338">
        <v>1</v>
      </c>
      <c r="G87" s="336"/>
      <c r="H87" s="339">
        <v>9</v>
      </c>
      <c r="I87">
        <f ca="1">COUNTIF(H86:H96,2)</f>
        <v>0</v>
      </c>
    </row>
    <row r="88" spans="1:9" ht="23.4" x14ac:dyDescent="0.3">
      <c r="B88" s="340">
        <f t="shared" ref="B88:B96" si="10">$B87+1</f>
        <v>2</v>
      </c>
      <c r="C88" s="341"/>
      <c r="D88" s="341"/>
      <c r="E88" s="342">
        <v>3</v>
      </c>
      <c r="F88" s="343"/>
      <c r="G88" s="341"/>
      <c r="H88" s="344"/>
      <c r="I88">
        <f ca="1">COUNTIF(H86:H98,3)</f>
        <v>0</v>
      </c>
    </row>
    <row r="89" spans="1:9" ht="23.4" x14ac:dyDescent="0.3">
      <c r="B89" s="345">
        <f t="shared" si="10"/>
        <v>3</v>
      </c>
      <c r="C89" s="346"/>
      <c r="D89" s="346"/>
      <c r="E89" s="347">
        <v>3</v>
      </c>
      <c r="F89" s="348"/>
      <c r="G89" s="346"/>
      <c r="H89" s="349"/>
    </row>
    <row r="90" spans="1:9" ht="23.4" x14ac:dyDescent="0.3">
      <c r="B90" s="340">
        <f t="shared" si="10"/>
        <v>4</v>
      </c>
      <c r="C90" s="341"/>
      <c r="D90" s="341"/>
      <c r="E90" s="342"/>
      <c r="F90" s="343"/>
      <c r="G90" s="341"/>
      <c r="H90" s="344"/>
    </row>
    <row r="91" spans="1:9" ht="23.4" x14ac:dyDescent="0.3">
      <c r="B91" s="345">
        <f t="shared" si="10"/>
        <v>5</v>
      </c>
      <c r="C91" s="346"/>
      <c r="D91" s="346"/>
      <c r="E91" s="347"/>
      <c r="F91" s="348"/>
      <c r="G91" s="346"/>
      <c r="H91" s="349"/>
    </row>
    <row r="92" spans="1:9" ht="23.4" x14ac:dyDescent="0.3">
      <c r="B92" s="340">
        <f t="shared" si="10"/>
        <v>6</v>
      </c>
      <c r="C92" s="341"/>
      <c r="D92" s="341"/>
      <c r="E92" s="342"/>
      <c r="F92" s="343"/>
      <c r="G92" s="341"/>
      <c r="H92" s="344"/>
    </row>
    <row r="93" spans="1:9" ht="23.4" x14ac:dyDescent="0.3">
      <c r="B93" s="345">
        <f t="shared" si="10"/>
        <v>7</v>
      </c>
      <c r="C93" s="346"/>
      <c r="D93" s="346"/>
      <c r="E93" s="347"/>
      <c r="F93" s="348"/>
      <c r="G93" s="346"/>
      <c r="H93" s="349"/>
    </row>
    <row r="94" spans="1:9" ht="23.4" x14ac:dyDescent="0.3">
      <c r="B94" s="340">
        <f t="shared" si="10"/>
        <v>8</v>
      </c>
      <c r="C94" s="341"/>
      <c r="D94" s="341"/>
      <c r="E94" s="342"/>
      <c r="F94" s="343"/>
      <c r="G94" s="341"/>
      <c r="H94" s="344"/>
    </row>
    <row r="95" spans="1:9" ht="23.4" x14ac:dyDescent="0.3">
      <c r="B95" s="345">
        <f t="shared" si="10"/>
        <v>9</v>
      </c>
      <c r="C95" s="346"/>
      <c r="D95" s="346"/>
      <c r="E95" s="347"/>
      <c r="F95" s="348"/>
      <c r="G95" s="346"/>
      <c r="H95" s="349"/>
    </row>
    <row r="96" spans="1:9" ht="23.4" x14ac:dyDescent="0.3">
      <c r="B96" s="350">
        <f t="shared" si="10"/>
        <v>10</v>
      </c>
      <c r="C96" s="351"/>
      <c r="D96" s="351"/>
      <c r="E96" s="352"/>
      <c r="F96" s="353"/>
      <c r="G96" s="351"/>
      <c r="H96" s="354"/>
    </row>
    <row r="97" spans="1:9" x14ac:dyDescent="0.3">
      <c r="B97" s="155" t="s">
        <v>604</v>
      </c>
      <c r="D97" s="240" t="e">
        <f>' '!#REF!</f>
        <v>#REF!</v>
      </c>
      <c r="E97" s="241">
        <f>COUNTIFS(E87:E96,"&lt;=4",E87:E96,"&gt;=3")</f>
        <v>3</v>
      </c>
      <c r="F97" s="9"/>
      <c r="G97" s="9"/>
      <c r="H97" s="9"/>
      <c r="I97" s="9"/>
    </row>
    <row r="98" spans="1:9" x14ac:dyDescent="0.3">
      <c r="C98" s="9"/>
      <c r="D98" s="9"/>
      <c r="E98" s="9"/>
      <c r="F98" s="9"/>
      <c r="G98" s="9"/>
      <c r="H98" s="9"/>
    </row>
    <row r="99" spans="1:9" x14ac:dyDescent="0.3">
      <c r="C99" s="9"/>
      <c r="D99" s="9"/>
      <c r="E99" s="9"/>
      <c r="F99" s="9"/>
      <c r="G99" s="9"/>
      <c r="H99" s="9"/>
    </row>
    <row r="100" spans="1:9" x14ac:dyDescent="0.3">
      <c r="A100" s="41"/>
      <c r="B100" s="77"/>
      <c r="C100" s="77"/>
      <c r="D100" s="77"/>
      <c r="E100" s="9"/>
      <c r="F100" s="9"/>
      <c r="G100" s="9"/>
      <c r="H100" s="9"/>
    </row>
    <row r="101" spans="1:9" x14ac:dyDescent="0.3">
      <c r="A101" s="41"/>
      <c r="B101" s="77"/>
      <c r="E101" s="9"/>
      <c r="F101" s="9"/>
      <c r="G101" s="9"/>
      <c r="H101" s="9"/>
    </row>
    <row r="102" spans="1:9" x14ac:dyDescent="0.3">
      <c r="A102" s="41"/>
      <c r="B102" s="77"/>
      <c r="E102" s="9"/>
      <c r="F102" s="9"/>
      <c r="G102" s="9"/>
      <c r="H102" s="9"/>
    </row>
    <row r="103" spans="1:9" x14ac:dyDescent="0.3">
      <c r="A103" s="41"/>
      <c r="B103" s="77"/>
      <c r="E103" s="9"/>
      <c r="F103" s="9"/>
      <c r="G103" s="9"/>
      <c r="H103" s="9"/>
    </row>
    <row r="104" spans="1:9" x14ac:dyDescent="0.3">
      <c r="A104" s="41"/>
      <c r="B104" s="77"/>
      <c r="E104" s="9"/>
      <c r="F104" s="9"/>
      <c r="G104" s="9"/>
      <c r="H104" s="9"/>
    </row>
    <row r="105" spans="1:9" x14ac:dyDescent="0.3">
      <c r="A105" s="41"/>
      <c r="B105" s="77"/>
      <c r="E105" s="9"/>
      <c r="F105" s="9"/>
      <c r="G105" s="9"/>
      <c r="H105" s="9"/>
    </row>
    <row r="106" spans="1:9" x14ac:dyDescent="0.3">
      <c r="A106" s="41"/>
      <c r="B106" s="77"/>
      <c r="E106" s="9"/>
      <c r="F106" s="9"/>
      <c r="G106" s="9"/>
      <c r="H106" s="9"/>
    </row>
    <row r="107" spans="1:9" x14ac:dyDescent="0.3">
      <c r="B107" s="9"/>
      <c r="C107" s="9"/>
      <c r="D107" s="9"/>
      <c r="E107" s="9"/>
      <c r="F107" s="9"/>
      <c r="G107" s="9"/>
      <c r="H107" s="9"/>
    </row>
    <row r="108" spans="1:9" x14ac:dyDescent="0.3">
      <c r="B108" s="9"/>
      <c r="C108" s="9"/>
      <c r="D108" s="9"/>
      <c r="E108" s="9"/>
      <c r="F108" s="9"/>
      <c r="G108" s="9"/>
      <c r="H108" s="9"/>
    </row>
    <row r="109" spans="1:9" x14ac:dyDescent="0.3">
      <c r="B109" s="9"/>
      <c r="C109" s="9"/>
      <c r="D109" s="9"/>
      <c r="E109" s="9"/>
      <c r="F109" s="9"/>
      <c r="G109" s="9"/>
      <c r="H109" s="9"/>
    </row>
    <row r="110" spans="1:9" x14ac:dyDescent="0.3">
      <c r="B110" s="9"/>
      <c r="C110" s="9"/>
      <c r="D110" s="9"/>
      <c r="E110" s="9"/>
      <c r="F110" s="9"/>
      <c r="G110" s="9"/>
      <c r="H110" s="9"/>
    </row>
    <row r="111" spans="1:9" x14ac:dyDescent="0.3">
      <c r="B111" s="9"/>
      <c r="C111" s="9"/>
      <c r="D111" s="9"/>
      <c r="E111" s="9"/>
      <c r="F111" s="9"/>
      <c r="G111" s="9"/>
      <c r="H111" s="9"/>
    </row>
    <row r="112" spans="1:9" x14ac:dyDescent="0.3">
      <c r="B112" s="9"/>
      <c r="C112" s="9"/>
      <c r="D112" s="9"/>
      <c r="E112" s="9"/>
      <c r="F112" s="9"/>
      <c r="G112" s="9"/>
      <c r="H112" s="9"/>
    </row>
    <row r="113" spans="1:8" x14ac:dyDescent="0.3">
      <c r="B113" s="9"/>
      <c r="C113" s="9"/>
      <c r="D113" s="9"/>
      <c r="E113" s="9"/>
      <c r="F113" s="9"/>
      <c r="G113" s="9"/>
      <c r="H113" s="9"/>
    </row>
    <row r="114" spans="1:8" x14ac:dyDescent="0.3">
      <c r="B114" s="9"/>
      <c r="C114" s="9"/>
      <c r="D114" s="9"/>
      <c r="E114" s="9"/>
      <c r="F114" s="9"/>
      <c r="G114" s="9"/>
      <c r="H114" s="9"/>
    </row>
    <row r="115" spans="1:8" x14ac:dyDescent="0.3">
      <c r="B115" s="9"/>
      <c r="C115" s="9"/>
      <c r="D115" s="9"/>
      <c r="E115" s="9"/>
      <c r="F115" s="9"/>
      <c r="G115" s="9"/>
      <c r="H115" s="9"/>
    </row>
    <row r="116" spans="1:8" x14ac:dyDescent="0.3">
      <c r="B116" s="9"/>
      <c r="C116" s="9"/>
      <c r="D116" s="9"/>
      <c r="E116" s="9"/>
      <c r="F116" s="9"/>
      <c r="G116" s="9"/>
      <c r="H116" s="9"/>
    </row>
    <row r="117" spans="1:8" x14ac:dyDescent="0.3">
      <c r="B117" s="9"/>
      <c r="C117" s="9"/>
      <c r="D117" s="9"/>
      <c r="E117" s="9"/>
      <c r="F117" s="9"/>
      <c r="G117" s="9"/>
      <c r="H117" s="9"/>
    </row>
    <row r="118" spans="1:8" x14ac:dyDescent="0.3">
      <c r="B118" s="9"/>
      <c r="C118" s="9"/>
      <c r="D118" s="9"/>
      <c r="E118" s="9"/>
      <c r="F118" s="9"/>
      <c r="G118" s="9"/>
      <c r="H118" s="9"/>
    </row>
    <row r="119" spans="1:8" x14ac:dyDescent="0.3">
      <c r="B119" s="9"/>
      <c r="C119" s="9"/>
      <c r="D119" s="9"/>
      <c r="E119" s="9"/>
      <c r="F119" s="9"/>
      <c r="G119" s="9"/>
      <c r="H119" s="9"/>
    </row>
    <row r="120" spans="1:8" x14ac:dyDescent="0.3">
      <c r="B120" s="9"/>
      <c r="C120" s="9"/>
      <c r="D120" s="9"/>
      <c r="E120" s="9"/>
      <c r="F120" s="9"/>
      <c r="G120" s="9"/>
      <c r="H120" s="9"/>
    </row>
    <row r="121" spans="1:8" x14ac:dyDescent="0.3">
      <c r="B121" s="9"/>
      <c r="C121" s="9"/>
      <c r="D121" s="9"/>
      <c r="E121" s="9"/>
      <c r="F121" s="9"/>
      <c r="G121" s="9"/>
      <c r="H121" s="9"/>
    </row>
    <row r="122" spans="1:8" x14ac:dyDescent="0.3">
      <c r="B122" s="9"/>
      <c r="C122" s="9"/>
      <c r="D122" s="9"/>
      <c r="E122" s="9"/>
      <c r="F122" s="9"/>
      <c r="G122" s="9"/>
      <c r="H122" s="9"/>
    </row>
    <row r="123" spans="1:8" x14ac:dyDescent="0.3">
      <c r="B123" s="9"/>
      <c r="C123" s="9"/>
      <c r="D123" s="9"/>
      <c r="E123" s="9"/>
      <c r="F123" s="9"/>
      <c r="G123" s="9"/>
      <c r="H123" s="9"/>
    </row>
    <row r="124" spans="1:8" ht="0.9" customHeight="1" x14ac:dyDescent="0.3">
      <c r="A124" s="18"/>
      <c r="B124" s="9"/>
      <c r="C124" s="9"/>
      <c r="D124" s="9"/>
      <c r="E124" s="9"/>
      <c r="F124" s="9"/>
      <c r="G124" s="9"/>
      <c r="H124" s="9"/>
    </row>
    <row r="125" spans="1:8" x14ac:dyDescent="0.3">
      <c r="B125" s="9"/>
      <c r="C125" s="9"/>
      <c r="D125" s="9"/>
      <c r="E125" s="9"/>
      <c r="F125" s="9"/>
      <c r="G125" s="9"/>
      <c r="H125" s="9"/>
    </row>
    <row r="126" spans="1:8" x14ac:dyDescent="0.3">
      <c r="B126" s="9"/>
      <c r="C126" s="9"/>
      <c r="D126" s="9"/>
      <c r="E126" s="9"/>
      <c r="F126" s="9"/>
      <c r="G126" s="9"/>
      <c r="H126" s="9"/>
    </row>
    <row r="127" spans="1:8" x14ac:dyDescent="0.3">
      <c r="B127" s="9"/>
      <c r="C127" s="9"/>
      <c r="D127" s="9"/>
      <c r="E127" s="9"/>
      <c r="F127" s="9"/>
      <c r="G127" s="9"/>
      <c r="H127" s="9"/>
    </row>
    <row r="128" spans="1:8" x14ac:dyDescent="0.3">
      <c r="B128" s="9"/>
      <c r="C128" s="9"/>
      <c r="D128" s="9"/>
      <c r="E128" s="9"/>
      <c r="F128" s="9"/>
      <c r="G128" s="9"/>
      <c r="H128" s="9"/>
    </row>
    <row r="129" spans="2:8" x14ac:dyDescent="0.3">
      <c r="B129" s="9"/>
      <c r="C129" s="9"/>
      <c r="D129" s="9"/>
      <c r="E129" s="9"/>
      <c r="F129" s="9"/>
      <c r="G129" s="9"/>
      <c r="H129" s="9"/>
    </row>
    <row r="130" spans="2:8" x14ac:dyDescent="0.3">
      <c r="B130" s="9"/>
      <c r="C130" s="9"/>
      <c r="D130" s="9"/>
      <c r="E130" s="9"/>
      <c r="F130" s="9"/>
      <c r="G130" s="9"/>
      <c r="H130" s="9"/>
    </row>
    <row r="131" spans="2:8" x14ac:dyDescent="0.3">
      <c r="B131" s="9"/>
      <c r="C131" s="9"/>
      <c r="D131" s="9"/>
      <c r="E131" s="9"/>
      <c r="F131" s="9"/>
      <c r="G131" s="9"/>
      <c r="H131" s="9"/>
    </row>
    <row r="132" spans="2:8" x14ac:dyDescent="0.3">
      <c r="B132" s="9"/>
      <c r="C132" s="9"/>
      <c r="D132" s="9"/>
      <c r="E132" s="9"/>
      <c r="F132" s="9"/>
      <c r="G132" s="9"/>
      <c r="H132" s="9"/>
    </row>
    <row r="133" spans="2:8" x14ac:dyDescent="0.3">
      <c r="B133" s="9"/>
      <c r="C133" s="9"/>
      <c r="D133" s="9"/>
      <c r="E133" s="9"/>
      <c r="F133" s="9"/>
      <c r="G133" s="9"/>
      <c r="H133" s="9"/>
    </row>
    <row r="134" spans="2:8" x14ac:dyDescent="0.3">
      <c r="B134" s="9"/>
      <c r="C134" s="9"/>
      <c r="D134" s="9"/>
      <c r="E134" s="9"/>
      <c r="F134" s="9"/>
      <c r="G134" s="9"/>
      <c r="H134" s="9"/>
    </row>
    <row r="135" spans="2:8" x14ac:dyDescent="0.3">
      <c r="B135" s="9"/>
      <c r="C135" s="9"/>
      <c r="D135" s="9"/>
      <c r="E135" s="9"/>
      <c r="F135" s="9"/>
      <c r="G135" s="9"/>
      <c r="H135" s="9"/>
    </row>
    <row r="136" spans="2:8" x14ac:dyDescent="0.3">
      <c r="B136" s="9"/>
      <c r="C136" s="9"/>
      <c r="D136" s="9"/>
      <c r="E136" s="9"/>
      <c r="F136" s="9"/>
      <c r="G136" s="9"/>
      <c r="H136" s="9"/>
    </row>
    <row r="137" spans="2:8" x14ac:dyDescent="0.3">
      <c r="B137" s="9"/>
      <c r="C137" s="9"/>
      <c r="D137" s="9"/>
      <c r="E137" s="9"/>
      <c r="F137" s="9"/>
      <c r="G137" s="9"/>
      <c r="H137" s="9"/>
    </row>
    <row r="138" spans="2:8" x14ac:dyDescent="0.3">
      <c r="B138" s="9"/>
      <c r="C138" s="9"/>
      <c r="D138" s="9"/>
      <c r="E138" s="9"/>
      <c r="F138" s="9"/>
      <c r="G138" s="9"/>
      <c r="H138" s="9"/>
    </row>
    <row r="139" spans="2:8" x14ac:dyDescent="0.3">
      <c r="B139" s="9"/>
      <c r="C139" s="9"/>
      <c r="D139" s="9"/>
      <c r="E139" s="9"/>
      <c r="F139" s="9"/>
      <c r="G139" s="9"/>
      <c r="H139" s="9"/>
    </row>
    <row r="140" spans="2:8" x14ac:dyDescent="0.3">
      <c r="B140" s="9"/>
      <c r="C140" s="9"/>
      <c r="D140" s="9"/>
      <c r="E140" s="9"/>
      <c r="F140" s="9"/>
      <c r="G140" s="9"/>
      <c r="H140" s="9"/>
    </row>
    <row r="141" spans="2:8" x14ac:dyDescent="0.3">
      <c r="B141" s="9"/>
      <c r="C141" s="9"/>
      <c r="D141" s="9"/>
      <c r="E141" s="9"/>
      <c r="F141" s="9"/>
      <c r="G141" s="9"/>
      <c r="H141" s="9"/>
    </row>
    <row r="142" spans="2:8" x14ac:dyDescent="0.3">
      <c r="B142" s="9"/>
      <c r="C142" s="9"/>
      <c r="D142" s="9"/>
      <c r="E142" s="9"/>
      <c r="F142" s="9"/>
      <c r="G142" s="9"/>
      <c r="H142" s="9"/>
    </row>
    <row r="143" spans="2:8" x14ac:dyDescent="0.3">
      <c r="B143" s="9"/>
      <c r="C143" s="9"/>
      <c r="D143" s="9"/>
      <c r="E143" s="9"/>
      <c r="F143" s="9"/>
      <c r="G143" s="9"/>
      <c r="H143" s="9"/>
    </row>
    <row r="144" spans="2:8" x14ac:dyDescent="0.3">
      <c r="B144" s="9"/>
      <c r="C144" s="9"/>
      <c r="D144" s="9"/>
      <c r="E144" s="9"/>
      <c r="F144" s="9"/>
      <c r="G144" s="9"/>
      <c r="H144" s="9"/>
    </row>
    <row r="145" spans="2:8" x14ac:dyDescent="0.3">
      <c r="B145" s="9"/>
      <c r="C145" s="9"/>
      <c r="D145" s="9"/>
      <c r="E145" s="9"/>
      <c r="F145" s="9"/>
      <c r="G145" s="9"/>
      <c r="H145" s="9"/>
    </row>
    <row r="146" spans="2:8" x14ac:dyDescent="0.3">
      <c r="B146" s="9"/>
      <c r="C146" s="9"/>
      <c r="D146" s="9"/>
      <c r="E146" s="9"/>
      <c r="F146" s="9"/>
      <c r="G146" s="9"/>
      <c r="H146" s="9"/>
    </row>
    <row r="147" spans="2:8" x14ac:dyDescent="0.3">
      <c r="B147" s="9"/>
      <c r="C147" s="9"/>
      <c r="D147" s="9"/>
      <c r="E147" s="9"/>
      <c r="F147" s="9"/>
      <c r="G147" s="9"/>
      <c r="H147" s="9"/>
    </row>
    <row r="148" spans="2:8" x14ac:dyDescent="0.3">
      <c r="B148" s="9"/>
      <c r="C148" s="9"/>
      <c r="D148" s="9"/>
      <c r="E148" s="9"/>
      <c r="F148" s="9"/>
      <c r="G148" s="9"/>
      <c r="H148" s="9"/>
    </row>
    <row r="149" spans="2:8" x14ac:dyDescent="0.3">
      <c r="B149" s="9"/>
      <c r="C149" s="9"/>
      <c r="D149" s="9"/>
      <c r="E149" s="9"/>
      <c r="F149" s="9"/>
      <c r="G149" s="9"/>
      <c r="H149" s="9"/>
    </row>
    <row r="150" spans="2:8" x14ac:dyDescent="0.3">
      <c r="B150" s="9"/>
      <c r="C150" s="9"/>
      <c r="D150" s="9"/>
      <c r="E150" s="9"/>
      <c r="F150" s="9"/>
      <c r="G150" s="9"/>
      <c r="H150" s="9"/>
    </row>
    <row r="151" spans="2:8" x14ac:dyDescent="0.3">
      <c r="B151" s="9"/>
      <c r="C151" s="9"/>
      <c r="D151" s="9"/>
      <c r="E151" s="9"/>
      <c r="F151" s="9"/>
      <c r="G151" s="9"/>
      <c r="H151" s="9"/>
    </row>
    <row r="152" spans="2:8" x14ac:dyDescent="0.3">
      <c r="B152" s="9"/>
      <c r="C152" s="9"/>
      <c r="D152" s="9"/>
      <c r="E152" s="9"/>
      <c r="F152" s="9"/>
      <c r="G152" s="9"/>
      <c r="H152" s="9"/>
    </row>
    <row r="153" spans="2:8" x14ac:dyDescent="0.3">
      <c r="B153" s="9"/>
      <c r="C153" s="9"/>
      <c r="D153" s="9"/>
      <c r="E153" s="9"/>
      <c r="F153" s="9"/>
      <c r="G153" s="9"/>
      <c r="H153" s="9"/>
    </row>
    <row r="154" spans="2:8" x14ac:dyDescent="0.3">
      <c r="B154" s="9"/>
      <c r="C154" s="9"/>
      <c r="D154" s="9"/>
      <c r="E154" s="9"/>
      <c r="F154" s="9"/>
      <c r="G154" s="9"/>
      <c r="H154" s="9"/>
    </row>
    <row r="155" spans="2:8" x14ac:dyDescent="0.3">
      <c r="B155" s="9"/>
      <c r="C155" s="9"/>
      <c r="D155" s="9"/>
      <c r="E155" s="9"/>
      <c r="F155" s="9"/>
      <c r="G155" s="9"/>
      <c r="H155" s="9"/>
    </row>
    <row r="156" spans="2:8" x14ac:dyDescent="0.3">
      <c r="B156" s="9"/>
      <c r="C156" s="9"/>
      <c r="D156" s="9"/>
      <c r="E156" s="9"/>
      <c r="F156" s="9"/>
      <c r="G156" s="9"/>
      <c r="H156" s="9"/>
    </row>
    <row r="157" spans="2:8" x14ac:dyDescent="0.3">
      <c r="B157" s="9"/>
      <c r="C157" s="9"/>
      <c r="D157" s="9"/>
      <c r="E157" s="9"/>
      <c r="F157" s="9"/>
      <c r="G157" s="9"/>
      <c r="H157" s="9"/>
    </row>
    <row r="158" spans="2:8" x14ac:dyDescent="0.3">
      <c r="B158" s="9"/>
      <c r="C158" s="9"/>
      <c r="D158" s="9"/>
      <c r="E158" s="9"/>
      <c r="F158" s="9"/>
      <c r="G158" s="9"/>
      <c r="H158" s="9"/>
    </row>
    <row r="159" spans="2:8" x14ac:dyDescent="0.3">
      <c r="B159" s="9"/>
      <c r="C159" s="9"/>
      <c r="D159" s="9"/>
      <c r="E159" s="9"/>
      <c r="F159" s="9"/>
      <c r="G159" s="9"/>
      <c r="H159" s="9"/>
    </row>
    <row r="160" spans="2:8" x14ac:dyDescent="0.3">
      <c r="B160" s="9"/>
      <c r="C160" s="9"/>
      <c r="D160" s="9"/>
      <c r="E160" s="9"/>
      <c r="F160" s="9"/>
      <c r="G160" s="9"/>
      <c r="H160" s="9"/>
    </row>
    <row r="161" spans="2:8" x14ac:dyDescent="0.3">
      <c r="B161" s="9"/>
      <c r="C161" s="9"/>
      <c r="D161" s="9"/>
      <c r="E161" s="9"/>
      <c r="F161" s="9"/>
      <c r="G161" s="9"/>
      <c r="H161" s="9"/>
    </row>
    <row r="162" spans="2:8" x14ac:dyDescent="0.3">
      <c r="B162" s="9"/>
      <c r="C162" s="9"/>
      <c r="D162" s="9"/>
      <c r="E162" s="9"/>
      <c r="F162" s="9"/>
      <c r="G162" s="9"/>
      <c r="H162" s="9"/>
    </row>
    <row r="163" spans="2:8" x14ac:dyDescent="0.3">
      <c r="B163" s="9"/>
      <c r="C163" s="9"/>
      <c r="D163" s="9"/>
      <c r="E163" s="9"/>
      <c r="F163" s="9"/>
      <c r="G163" s="9"/>
      <c r="H163" s="9"/>
    </row>
    <row r="164" spans="2:8" x14ac:dyDescent="0.3">
      <c r="B164" s="9"/>
      <c r="C164" s="9"/>
      <c r="D164" s="9"/>
      <c r="E164" s="9"/>
      <c r="F164" s="9"/>
      <c r="G164" s="9"/>
      <c r="H164" s="9"/>
    </row>
    <row r="165" spans="2:8" x14ac:dyDescent="0.3">
      <c r="B165" s="9"/>
      <c r="C165" s="9"/>
      <c r="D165" s="9"/>
      <c r="E165" s="9"/>
      <c r="F165" s="9"/>
      <c r="G165" s="9"/>
      <c r="H165" s="9"/>
    </row>
    <row r="166" spans="2:8" x14ac:dyDescent="0.3">
      <c r="B166" s="9"/>
      <c r="C166" s="9"/>
      <c r="D166" s="9"/>
      <c r="E166" s="9"/>
      <c r="F166" s="9"/>
      <c r="G166" s="9"/>
      <c r="H166" s="9"/>
    </row>
    <row r="167" spans="2:8" x14ac:dyDescent="0.3">
      <c r="B167" s="9"/>
      <c r="C167" s="9"/>
      <c r="D167" s="9"/>
      <c r="E167" s="9"/>
      <c r="F167" s="9"/>
      <c r="G167" s="9"/>
      <c r="H167" s="9"/>
    </row>
    <row r="168" spans="2:8" x14ac:dyDescent="0.3">
      <c r="B168" s="9"/>
      <c r="C168" s="9"/>
      <c r="D168" s="9"/>
      <c r="E168" s="9"/>
      <c r="F168" s="9"/>
      <c r="G168" s="9"/>
      <c r="H168" s="9"/>
    </row>
    <row r="169" spans="2:8" x14ac:dyDescent="0.3">
      <c r="B169" s="9"/>
      <c r="C169" s="9"/>
      <c r="D169" s="9"/>
      <c r="E169" s="9"/>
      <c r="F169" s="9"/>
      <c r="G169" s="9"/>
      <c r="H169" s="9"/>
    </row>
    <row r="170" spans="2:8" x14ac:dyDescent="0.3">
      <c r="B170" s="9"/>
      <c r="C170" s="9"/>
      <c r="D170" s="9"/>
      <c r="E170" s="9"/>
      <c r="F170" s="9"/>
      <c r="G170" s="9"/>
      <c r="H170" s="9"/>
    </row>
    <row r="171" spans="2:8" x14ac:dyDescent="0.3">
      <c r="B171" s="9"/>
      <c r="C171" s="9"/>
      <c r="D171" s="9"/>
      <c r="E171" s="9"/>
      <c r="F171" s="9"/>
      <c r="G171" s="9"/>
      <c r="H171" s="9"/>
    </row>
    <row r="172" spans="2:8" x14ac:dyDescent="0.3">
      <c r="B172" s="9"/>
      <c r="C172" s="9"/>
      <c r="D172" s="9"/>
      <c r="E172" s="9"/>
      <c r="F172" s="9"/>
      <c r="G172" s="9"/>
      <c r="H172" s="9"/>
    </row>
    <row r="173" spans="2:8" x14ac:dyDescent="0.3">
      <c r="B173" s="9"/>
      <c r="C173" s="9"/>
      <c r="D173" s="9"/>
      <c r="E173" s="9"/>
      <c r="F173" s="9"/>
      <c r="G173" s="9"/>
      <c r="H173" s="9"/>
    </row>
    <row r="174" spans="2:8" x14ac:dyDescent="0.3">
      <c r="B174" s="9"/>
      <c r="C174" s="9"/>
      <c r="D174" s="9"/>
      <c r="E174" s="9"/>
      <c r="F174" s="9"/>
      <c r="G174" s="9"/>
      <c r="H174" s="9"/>
    </row>
    <row r="175" spans="2:8" x14ac:dyDescent="0.3">
      <c r="B175" s="9"/>
      <c r="C175" s="9"/>
      <c r="D175" s="9"/>
      <c r="E175" s="9"/>
      <c r="F175" s="9"/>
      <c r="G175" s="9"/>
      <c r="H175" s="9"/>
    </row>
    <row r="176" spans="2:8" x14ac:dyDescent="0.3">
      <c r="B176" s="9"/>
      <c r="C176" s="9"/>
      <c r="D176" s="9"/>
      <c r="E176" s="9"/>
      <c r="F176" s="9"/>
      <c r="G176" s="9"/>
      <c r="H176" s="9"/>
    </row>
    <row r="177" spans="2:8" x14ac:dyDescent="0.3">
      <c r="B177" s="9"/>
      <c r="C177" s="9"/>
      <c r="D177" s="9"/>
      <c r="E177" s="9"/>
      <c r="F177" s="9"/>
      <c r="G177" s="9"/>
      <c r="H177" s="9"/>
    </row>
    <row r="178" spans="2:8" x14ac:dyDescent="0.3">
      <c r="B178" s="9"/>
      <c r="C178" s="9"/>
      <c r="D178" s="9"/>
      <c r="E178" s="9"/>
      <c r="F178" s="9"/>
      <c r="G178" s="9"/>
      <c r="H178" s="9"/>
    </row>
    <row r="179" spans="2:8" x14ac:dyDescent="0.3">
      <c r="B179" s="9"/>
      <c r="C179" s="9"/>
      <c r="D179" s="9"/>
      <c r="E179" s="9"/>
      <c r="F179" s="9"/>
      <c r="G179" s="9"/>
      <c r="H179" s="9"/>
    </row>
    <row r="180" spans="2:8" x14ac:dyDescent="0.3">
      <c r="B180" s="9"/>
      <c r="C180" s="9"/>
      <c r="D180" s="9"/>
      <c r="E180" s="9"/>
      <c r="F180" s="9"/>
      <c r="G180" s="9"/>
      <c r="H180" s="9"/>
    </row>
    <row r="181" spans="2:8" x14ac:dyDescent="0.3">
      <c r="B181" s="9"/>
      <c r="C181" s="9"/>
      <c r="D181" s="9"/>
      <c r="E181" s="9"/>
      <c r="F181" s="9"/>
      <c r="G181" s="9"/>
      <c r="H181" s="9"/>
    </row>
    <row r="182" spans="2:8" x14ac:dyDescent="0.3">
      <c r="B182" s="9"/>
    </row>
    <row r="183" spans="2:8" x14ac:dyDescent="0.3">
      <c r="B183" s="9"/>
    </row>
  </sheetData>
  <sheetProtection sheet="1" objects="1" scenarios="1" formatCells="0" formatColumns="0" formatRows="0" insertHyperlinks="0" selectLockedCells="1" sort="0" autoFilter="0"/>
  <conditionalFormatting sqref="E17:E26">
    <cfRule type="iconSet" priority="16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31:E40">
    <cfRule type="iconSet" priority="14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45:E54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59:E68">
    <cfRule type="iconSet" priority="8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73:E82">
    <cfRule type="iconSet" priority="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87:E96">
    <cfRule type="iconSet" priority="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17:F26">
    <cfRule type="iconSet" priority="18">
      <iconSet iconSet="3ArrowsGray" showValue="0" reverse="1">
        <cfvo type="percent" val="0"/>
        <cfvo type="num" val="2"/>
        <cfvo type="num" val="3"/>
      </iconSet>
    </cfRule>
  </conditionalFormatting>
  <conditionalFormatting sqref="F31:F40">
    <cfRule type="iconSet" priority="15">
      <iconSet iconSet="3ArrowsGray" showValue="0" reverse="1">
        <cfvo type="percent" val="0"/>
        <cfvo type="num" val="2"/>
        <cfvo type="num" val="3"/>
      </iconSet>
    </cfRule>
  </conditionalFormatting>
  <conditionalFormatting sqref="F45:F54">
    <cfRule type="iconSet" priority="13">
      <iconSet iconSet="3ArrowsGray" showValue="0" reverse="1">
        <cfvo type="percent" val="0"/>
        <cfvo type="num" val="2"/>
        <cfvo type="num" val="3"/>
      </iconSet>
    </cfRule>
  </conditionalFormatting>
  <conditionalFormatting sqref="F59:F68">
    <cfRule type="iconSet" priority="9">
      <iconSet iconSet="3ArrowsGray" showValue="0" reverse="1">
        <cfvo type="percent" val="0"/>
        <cfvo type="num" val="2"/>
        <cfvo type="num" val="3"/>
      </iconSet>
    </cfRule>
  </conditionalFormatting>
  <conditionalFormatting sqref="F73:F82">
    <cfRule type="iconSet" priority="6">
      <iconSet iconSet="3ArrowsGray" showValue="0" reverse="1">
        <cfvo type="percent" val="0"/>
        <cfvo type="num" val="2"/>
        <cfvo type="num" val="3"/>
      </iconSet>
    </cfRule>
  </conditionalFormatting>
  <conditionalFormatting sqref="F87:F96">
    <cfRule type="iconSet" priority="3">
      <iconSet iconSet="3ArrowsGray" showValue="0" reverse="1">
        <cfvo type="percent" val="0"/>
        <cfvo type="num" val="2"/>
        <cfvo type="num" val="3"/>
      </iconSet>
    </cfRule>
  </conditionalFormatting>
  <conditionalFormatting sqref="H17:H26">
    <cfRule type="iconSet" priority="17">
      <iconSet iconSet="3Symbols2" showValue="0" reverse="1">
        <cfvo type="percent" val="0"/>
        <cfvo type="num" val="2"/>
        <cfvo type="num" val="3"/>
      </iconSet>
    </cfRule>
  </conditionalFormatting>
  <conditionalFormatting sqref="H31:H40">
    <cfRule type="iconSet" priority="10">
      <iconSet iconSet="3Symbols2" showValue="0" reverse="1">
        <cfvo type="percent" val="0"/>
        <cfvo type="num" val="2"/>
        <cfvo type="num" val="3"/>
      </iconSet>
    </cfRule>
  </conditionalFormatting>
  <conditionalFormatting sqref="H45:H54">
    <cfRule type="iconSet" priority="11">
      <iconSet iconSet="3Symbols2" showValue="0" reverse="1">
        <cfvo type="percent" val="0"/>
        <cfvo type="num" val="2"/>
        <cfvo type="num" val="3"/>
      </iconSet>
    </cfRule>
  </conditionalFormatting>
  <conditionalFormatting sqref="H59:H68">
    <cfRule type="iconSet" priority="7">
      <iconSet iconSet="3Symbols2" showValue="0" reverse="1">
        <cfvo type="percent" val="0"/>
        <cfvo type="num" val="2"/>
        <cfvo type="num" val="3"/>
      </iconSet>
    </cfRule>
  </conditionalFormatting>
  <conditionalFormatting sqref="H73:H82">
    <cfRule type="iconSet" priority="4">
      <iconSet iconSet="3Symbols2" showValue="0" reverse="1">
        <cfvo type="percent" val="0"/>
        <cfvo type="num" val="2"/>
        <cfvo type="num" val="3"/>
      </iconSet>
    </cfRule>
  </conditionalFormatting>
  <conditionalFormatting sqref="H87:H96">
    <cfRule type="iconSet" priority="1">
      <iconSet iconSet="3Symbols2" showValue="0" reverse="1">
        <cfvo type="percent" val="0"/>
        <cfvo type="num" val="2"/>
        <cfvo type="num" val="3"/>
      </iconSet>
    </cfRule>
  </conditionalFormatting>
  <dataValidations count="2">
    <dataValidation type="list" showInputMessage="1" showErrorMessage="1" sqref="E73:E82 E17:E26 E31:E40 E45:E54 E59:E68 E87:E96" xr:uid="{00000000-0002-0000-0400-000000000000}">
      <formula1>"0,1,2,3,4"</formula1>
    </dataValidation>
    <dataValidation type="list" showInputMessage="1" showErrorMessage="1" sqref="F59:F68 F73:F82 H87:H96 F45:F54 F31:F40 F17:F26 H17:H26 H31:H40 H45:H54 H59:H68 H73:H82 F87:F96" xr:uid="{00000000-0002-0000-0400-000001000000}">
      <formula1>"1,2,3"</formula1>
    </dataValidation>
  </dataValidations>
  <printOptions horizontalCentered="1" vertic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13">
    <tabColor theme="4" tint="0.39997558519241921"/>
  </sheetPr>
  <dimension ref="A1:O91"/>
  <sheetViews>
    <sheetView showGridLines="0" zoomScaleNormal="100" workbookViewId="0">
      <pane ySplit="1" topLeftCell="A2" activePane="bottomLeft" state="frozen"/>
      <selection activeCell="T14" sqref="T14"/>
      <selection pane="bottomLeft" activeCell="A2" sqref="A2"/>
    </sheetView>
  </sheetViews>
  <sheetFormatPr baseColWidth="10" defaultColWidth="11.44140625" defaultRowHeight="14.4" x14ac:dyDescent="0.3"/>
  <cols>
    <col min="1" max="1" width="7" style="13" customWidth="1"/>
    <col min="2" max="2" width="4" customWidth="1"/>
    <col min="3" max="3" width="51.109375" customWidth="1"/>
    <col min="4" max="4" width="4.44140625" customWidth="1"/>
    <col min="5" max="5" width="31" customWidth="1"/>
    <col min="6" max="6" width="4.33203125" customWidth="1"/>
    <col min="7" max="7" width="51.109375" customWidth="1"/>
    <col min="8" max="8" width="4.44140625" customWidth="1"/>
    <col min="9" max="9" width="2.6640625" customWidth="1"/>
    <col min="10" max="10" width="5.44140625" customWidth="1"/>
    <col min="11" max="11" width="1.33203125" customWidth="1"/>
    <col min="12" max="18" width="5.44140625" customWidth="1"/>
    <col min="19" max="19" width="20" customWidth="1"/>
    <col min="20" max="26" width="5.44140625" customWidth="1"/>
    <col min="27" max="27" width="4.109375" customWidth="1"/>
    <col min="28" max="39" width="5.44140625" customWidth="1"/>
  </cols>
  <sheetData>
    <row r="1" spans="1:15" s="2" customFormat="1" ht="43.95" customHeight="1" x14ac:dyDescent="0.3">
      <c r="A1" s="16"/>
      <c r="B1" s="4" t="str">
        <f ca="1">' '!A121</f>
        <v>A N A L Y S E   S W O T   C O M M U N I C A T I O N</v>
      </c>
      <c r="C1" s="16"/>
      <c r="D1" s="69"/>
      <c r="E1" s="4"/>
      <c r="F1" s="357"/>
      <c r="G1" s="16"/>
      <c r="H1" s="141"/>
      <c r="I1" s="4"/>
      <c r="J1" s="4"/>
      <c r="K1" s="4"/>
      <c r="L1" s="4"/>
      <c r="M1" s="4"/>
      <c r="N1" s="4"/>
      <c r="O1" s="4"/>
    </row>
    <row r="2" spans="1:15" s="2" customFormat="1" ht="0.9" customHeight="1" x14ac:dyDescent="0.3">
      <c r="A2" s="53"/>
      <c r="B2" s="19"/>
      <c r="C2" s="19"/>
      <c r="D2" s="70"/>
      <c r="E2" s="12"/>
      <c r="F2" s="19"/>
      <c r="G2" s="19"/>
      <c r="H2" s="70"/>
      <c r="I2" s="12"/>
      <c r="J2" s="12"/>
      <c r="K2" s="12"/>
      <c r="L2" s="12"/>
      <c r="M2" s="12"/>
      <c r="N2" s="12"/>
      <c r="O2" s="12"/>
    </row>
    <row r="3" spans="1:15" ht="21" customHeight="1" x14ac:dyDescent="0.3">
      <c r="B3" s="81"/>
    </row>
    <row r="4" spans="1:15" x14ac:dyDescent="0.3">
      <c r="B4" s="64"/>
      <c r="D4" s="71"/>
      <c r="F4" s="66"/>
      <c r="H4" s="71"/>
    </row>
    <row r="5" spans="1:15" ht="19.5" customHeight="1" x14ac:dyDescent="0.35">
      <c r="B5" s="64"/>
      <c r="C5" s="63" t="str">
        <f ca="1">' '!A127</f>
        <v>Forces</v>
      </c>
      <c r="D5" s="72"/>
      <c r="E5" s="60"/>
      <c r="F5" s="66"/>
      <c r="G5" s="65" t="str">
        <f ca="1">' '!A128</f>
        <v>Faiblesses</v>
      </c>
      <c r="H5" s="71"/>
      <c r="J5" s="22"/>
    </row>
    <row r="6" spans="1:15" ht="25.5" customHeight="1" x14ac:dyDescent="0.3">
      <c r="B6" s="358" t="s">
        <v>172</v>
      </c>
      <c r="C6" s="359" t="s">
        <v>420</v>
      </c>
      <c r="D6" s="360">
        <v>5</v>
      </c>
      <c r="E6" s="361"/>
      <c r="F6" s="358" t="s">
        <v>190</v>
      </c>
      <c r="G6" s="359" t="s">
        <v>431</v>
      </c>
      <c r="H6" s="362">
        <v>-5</v>
      </c>
      <c r="J6" s="76"/>
      <c r="K6" s="76"/>
      <c r="M6" s="76"/>
    </row>
    <row r="7" spans="1:15" ht="25.5" customHeight="1" x14ac:dyDescent="0.3">
      <c r="B7" s="363" t="s">
        <v>173</v>
      </c>
      <c r="C7" s="364" t="s">
        <v>421</v>
      </c>
      <c r="D7" s="365">
        <v>3</v>
      </c>
      <c r="E7" s="361"/>
      <c r="F7" s="363" t="s">
        <v>191</v>
      </c>
      <c r="G7" s="364" t="s">
        <v>421</v>
      </c>
      <c r="H7" s="366">
        <v>-4</v>
      </c>
      <c r="J7" s="76"/>
      <c r="K7" s="76"/>
      <c r="M7" s="76"/>
    </row>
    <row r="8" spans="1:15" ht="25.5" customHeight="1" x14ac:dyDescent="0.3">
      <c r="B8" s="363" t="s">
        <v>174</v>
      </c>
      <c r="C8" s="364" t="s">
        <v>421</v>
      </c>
      <c r="D8" s="365"/>
      <c r="E8" s="361"/>
      <c r="F8" s="363" t="s">
        <v>192</v>
      </c>
      <c r="G8" s="364" t="s">
        <v>421</v>
      </c>
      <c r="H8" s="366">
        <v>-2</v>
      </c>
      <c r="J8" s="76"/>
      <c r="K8" s="76"/>
      <c r="M8" s="76"/>
    </row>
    <row r="9" spans="1:15" ht="25.5" customHeight="1" x14ac:dyDescent="0.3">
      <c r="B9" s="363" t="s">
        <v>175</v>
      </c>
      <c r="C9" s="364" t="s">
        <v>421</v>
      </c>
      <c r="D9" s="365"/>
      <c r="E9" s="361"/>
      <c r="F9" s="363" t="s">
        <v>193</v>
      </c>
      <c r="G9" s="364" t="s">
        <v>421</v>
      </c>
      <c r="H9" s="366"/>
      <c r="J9" s="76"/>
      <c r="K9" s="76"/>
      <c r="M9" s="76"/>
    </row>
    <row r="10" spans="1:15" ht="25.5" customHeight="1" x14ac:dyDescent="0.3">
      <c r="B10" s="363" t="s">
        <v>176</v>
      </c>
      <c r="C10" s="364" t="s">
        <v>421</v>
      </c>
      <c r="D10" s="365"/>
      <c r="E10" s="361"/>
      <c r="F10" s="363" t="s">
        <v>194</v>
      </c>
      <c r="G10" s="364" t="s">
        <v>421</v>
      </c>
      <c r="H10" s="366"/>
      <c r="J10" s="76"/>
      <c r="K10" s="76"/>
      <c r="M10" s="76"/>
    </row>
    <row r="11" spans="1:15" ht="25.5" customHeight="1" x14ac:dyDescent="0.3">
      <c r="B11" s="363" t="s">
        <v>177</v>
      </c>
      <c r="C11" s="364" t="s">
        <v>421</v>
      </c>
      <c r="D11" s="365"/>
      <c r="E11" s="361"/>
      <c r="F11" s="363" t="s">
        <v>195</v>
      </c>
      <c r="G11" s="364" t="s">
        <v>421</v>
      </c>
      <c r="H11" s="366"/>
      <c r="J11" s="76"/>
      <c r="K11" s="76"/>
      <c r="M11" s="76"/>
    </row>
    <row r="12" spans="1:15" ht="25.5" customHeight="1" x14ac:dyDescent="0.3">
      <c r="B12" s="363" t="s">
        <v>178</v>
      </c>
      <c r="C12" s="364" t="s">
        <v>421</v>
      </c>
      <c r="D12" s="365"/>
      <c r="E12" s="361"/>
      <c r="F12" s="363" t="s">
        <v>196</v>
      </c>
      <c r="G12" s="364" t="s">
        <v>421</v>
      </c>
      <c r="H12" s="366"/>
      <c r="J12" s="76"/>
      <c r="K12" s="76"/>
      <c r="M12" s="76"/>
    </row>
    <row r="13" spans="1:15" ht="25.5" customHeight="1" x14ac:dyDescent="0.3">
      <c r="B13" s="363" t="s">
        <v>179</v>
      </c>
      <c r="C13" s="364" t="s">
        <v>421</v>
      </c>
      <c r="D13" s="365"/>
      <c r="E13" s="361"/>
      <c r="F13" s="363" t="s">
        <v>197</v>
      </c>
      <c r="G13" s="364" t="s">
        <v>421</v>
      </c>
      <c r="H13" s="366"/>
      <c r="J13" s="76"/>
      <c r="K13" s="76"/>
      <c r="M13" s="76"/>
    </row>
    <row r="14" spans="1:15" ht="25.5" customHeight="1" x14ac:dyDescent="0.3">
      <c r="B14" s="363" t="s">
        <v>180</v>
      </c>
      <c r="C14" s="364" t="s">
        <v>421</v>
      </c>
      <c r="D14" s="365"/>
      <c r="E14" s="361"/>
      <c r="F14" s="363" t="s">
        <v>198</v>
      </c>
      <c r="G14" s="364" t="s">
        <v>421</v>
      </c>
      <c r="H14" s="366"/>
      <c r="J14" s="76"/>
      <c r="K14" s="76"/>
      <c r="M14" s="76"/>
    </row>
    <row r="15" spans="1:15" ht="25.5" customHeight="1" x14ac:dyDescent="0.3">
      <c r="B15" s="363" t="s">
        <v>181</v>
      </c>
      <c r="C15" s="364" t="s">
        <v>421</v>
      </c>
      <c r="D15" s="365"/>
      <c r="E15" s="361"/>
      <c r="F15" s="363" t="s">
        <v>199</v>
      </c>
      <c r="G15" s="364" t="s">
        <v>421</v>
      </c>
      <c r="H15" s="366"/>
      <c r="J15" s="76"/>
      <c r="K15" s="76"/>
      <c r="M15" s="76"/>
    </row>
    <row r="16" spans="1:15" ht="25.5" customHeight="1" x14ac:dyDescent="0.3">
      <c r="B16" s="363" t="s">
        <v>182</v>
      </c>
      <c r="C16" s="364" t="s">
        <v>421</v>
      </c>
      <c r="D16" s="365"/>
      <c r="E16" s="361"/>
      <c r="F16" s="363" t="s">
        <v>200</v>
      </c>
      <c r="G16" s="364" t="s">
        <v>421</v>
      </c>
      <c r="H16" s="366"/>
      <c r="J16" s="76"/>
      <c r="K16" s="76"/>
      <c r="M16" s="76"/>
    </row>
    <row r="17" spans="2:13" ht="25.5" customHeight="1" x14ac:dyDescent="0.3">
      <c r="B17" s="363" t="s">
        <v>183</v>
      </c>
      <c r="C17" s="364"/>
      <c r="D17" s="365"/>
      <c r="E17" s="361"/>
      <c r="F17" s="363" t="s">
        <v>201</v>
      </c>
      <c r="G17" s="364"/>
      <c r="H17" s="366"/>
      <c r="J17" s="76"/>
      <c r="K17" s="76"/>
      <c r="M17" s="76"/>
    </row>
    <row r="18" spans="2:13" ht="25.5" customHeight="1" x14ac:dyDescent="0.3">
      <c r="B18" s="363" t="s">
        <v>184</v>
      </c>
      <c r="C18" s="364"/>
      <c r="D18" s="365"/>
      <c r="E18" s="361"/>
      <c r="F18" s="363" t="s">
        <v>202</v>
      </c>
      <c r="G18" s="364"/>
      <c r="H18" s="366"/>
      <c r="J18" s="76"/>
      <c r="K18" s="76"/>
      <c r="M18" s="76"/>
    </row>
    <row r="19" spans="2:13" ht="25.5" customHeight="1" x14ac:dyDescent="0.3">
      <c r="B19" s="363" t="s">
        <v>185</v>
      </c>
      <c r="C19" s="364"/>
      <c r="D19" s="365"/>
      <c r="E19" s="361"/>
      <c r="F19" s="363" t="s">
        <v>203</v>
      </c>
      <c r="G19" s="364"/>
      <c r="H19" s="366"/>
      <c r="J19" s="76"/>
      <c r="K19" s="76"/>
      <c r="M19" s="76"/>
    </row>
    <row r="20" spans="2:13" ht="25.5" customHeight="1" x14ac:dyDescent="0.3">
      <c r="B20" s="363" t="s">
        <v>186</v>
      </c>
      <c r="C20" s="364"/>
      <c r="D20" s="365"/>
      <c r="E20" s="361"/>
      <c r="F20" s="363" t="s">
        <v>204</v>
      </c>
      <c r="G20" s="364"/>
      <c r="H20" s="366"/>
      <c r="J20" s="76"/>
      <c r="K20" s="76"/>
      <c r="M20" s="76"/>
    </row>
    <row r="21" spans="2:13" ht="25.5" customHeight="1" x14ac:dyDescent="0.3">
      <c r="B21" s="363" t="s">
        <v>187</v>
      </c>
      <c r="C21" s="364"/>
      <c r="D21" s="365"/>
      <c r="E21" s="361"/>
      <c r="F21" s="363" t="s">
        <v>205</v>
      </c>
      <c r="G21" s="364"/>
      <c r="H21" s="366"/>
      <c r="J21" s="76"/>
      <c r="K21" s="76"/>
      <c r="M21" s="76"/>
    </row>
    <row r="22" spans="2:13" ht="25.5" customHeight="1" x14ac:dyDescent="0.3">
      <c r="B22" s="363" t="s">
        <v>188</v>
      </c>
      <c r="C22" s="364"/>
      <c r="D22" s="365"/>
      <c r="E22" s="361"/>
      <c r="F22" s="363" t="s">
        <v>206</v>
      </c>
      <c r="G22" s="364"/>
      <c r="H22" s="366"/>
      <c r="J22" s="76"/>
      <c r="K22" s="76"/>
      <c r="M22" s="76"/>
    </row>
    <row r="23" spans="2:13" ht="25.5" customHeight="1" x14ac:dyDescent="0.3">
      <c r="B23" s="367" t="s">
        <v>189</v>
      </c>
      <c r="C23" s="368"/>
      <c r="D23" s="369"/>
      <c r="E23" s="361"/>
      <c r="F23" s="367" t="s">
        <v>207</v>
      </c>
      <c r="G23" s="368"/>
      <c r="H23" s="370"/>
      <c r="J23" s="76"/>
      <c r="K23" s="76"/>
      <c r="M23" s="76"/>
    </row>
    <row r="24" spans="2:13" ht="58.5" customHeight="1" x14ac:dyDescent="0.4">
      <c r="B24" s="61"/>
      <c r="C24" s="67" t="str">
        <f ca="1">' '!A129</f>
        <v>Opportunités</v>
      </c>
      <c r="D24" s="73"/>
      <c r="F24" s="62"/>
      <c r="G24" s="68" t="str">
        <f ca="1">' '!A130</f>
        <v>Menaces</v>
      </c>
      <c r="H24" s="73"/>
    </row>
    <row r="25" spans="2:13" ht="25.5" customHeight="1" x14ac:dyDescent="0.35">
      <c r="B25" s="358" t="s">
        <v>208</v>
      </c>
      <c r="C25" s="359" t="s">
        <v>418</v>
      </c>
      <c r="D25" s="362">
        <v>3</v>
      </c>
      <c r="E25" s="361"/>
      <c r="F25" s="358" t="s">
        <v>226</v>
      </c>
      <c r="G25" s="359" t="s">
        <v>419</v>
      </c>
      <c r="H25" s="371">
        <v>-2</v>
      </c>
      <c r="J25" s="22"/>
    </row>
    <row r="26" spans="2:13" ht="25.5" customHeight="1" x14ac:dyDescent="0.3">
      <c r="B26" s="363" t="s">
        <v>209</v>
      </c>
      <c r="C26" s="364"/>
      <c r="D26" s="366">
        <v>3</v>
      </c>
      <c r="E26" s="361"/>
      <c r="F26" s="363" t="s">
        <v>227</v>
      </c>
      <c r="G26" s="364"/>
      <c r="H26" s="372">
        <v>-2</v>
      </c>
    </row>
    <row r="27" spans="2:13" ht="25.5" customHeight="1" x14ac:dyDescent="0.3">
      <c r="B27" s="363" t="s">
        <v>210</v>
      </c>
      <c r="C27" s="364"/>
      <c r="D27" s="366"/>
      <c r="E27" s="361"/>
      <c r="F27" s="363" t="s">
        <v>228</v>
      </c>
      <c r="G27" s="364"/>
      <c r="H27" s="372"/>
    </row>
    <row r="28" spans="2:13" ht="25.5" customHeight="1" x14ac:dyDescent="0.3">
      <c r="B28" s="363" t="s">
        <v>211</v>
      </c>
      <c r="C28" s="364"/>
      <c r="D28" s="366"/>
      <c r="E28" s="361"/>
      <c r="F28" s="363" t="s">
        <v>229</v>
      </c>
      <c r="G28" s="364"/>
      <c r="H28" s="372"/>
    </row>
    <row r="29" spans="2:13" ht="25.5" customHeight="1" x14ac:dyDescent="0.3">
      <c r="B29" s="363" t="s">
        <v>212</v>
      </c>
      <c r="C29" s="364"/>
      <c r="D29" s="366"/>
      <c r="E29" s="361"/>
      <c r="F29" s="363" t="s">
        <v>230</v>
      </c>
      <c r="G29" s="364"/>
      <c r="H29" s="372"/>
    </row>
    <row r="30" spans="2:13" ht="25.5" customHeight="1" x14ac:dyDescent="0.3">
      <c r="B30" s="363" t="s">
        <v>213</v>
      </c>
      <c r="C30" s="364"/>
      <c r="D30" s="366"/>
      <c r="E30" s="361"/>
      <c r="F30" s="363" t="s">
        <v>231</v>
      </c>
      <c r="G30" s="364"/>
      <c r="H30" s="372"/>
    </row>
    <row r="31" spans="2:13" ht="25.5" customHeight="1" x14ac:dyDescent="0.3">
      <c r="B31" s="363" t="s">
        <v>214</v>
      </c>
      <c r="C31" s="364"/>
      <c r="D31" s="366"/>
      <c r="E31" s="361"/>
      <c r="F31" s="363" t="s">
        <v>232</v>
      </c>
      <c r="G31" s="364"/>
      <c r="H31" s="372"/>
    </row>
    <row r="32" spans="2:13" ht="25.5" customHeight="1" x14ac:dyDescent="0.3">
      <c r="B32" s="363" t="s">
        <v>215</v>
      </c>
      <c r="C32" s="364"/>
      <c r="D32" s="366"/>
      <c r="E32" s="361"/>
      <c r="F32" s="363" t="s">
        <v>233</v>
      </c>
      <c r="G32" s="364"/>
      <c r="H32" s="372"/>
    </row>
    <row r="33" spans="2:8" ht="25.5" customHeight="1" x14ac:dyDescent="0.3">
      <c r="B33" s="363" t="s">
        <v>216</v>
      </c>
      <c r="C33" s="364"/>
      <c r="D33" s="366"/>
      <c r="E33" s="361"/>
      <c r="F33" s="363" t="s">
        <v>234</v>
      </c>
      <c r="G33" s="364"/>
      <c r="H33" s="372"/>
    </row>
    <row r="34" spans="2:8" ht="25.5" customHeight="1" x14ac:dyDescent="0.3">
      <c r="B34" s="363" t="s">
        <v>217</v>
      </c>
      <c r="C34" s="364"/>
      <c r="D34" s="366"/>
      <c r="E34" s="361"/>
      <c r="F34" s="363" t="s">
        <v>235</v>
      </c>
      <c r="G34" s="364"/>
      <c r="H34" s="372"/>
    </row>
    <row r="35" spans="2:8" ht="25.5" customHeight="1" x14ac:dyDescent="0.3">
      <c r="B35" s="363" t="s">
        <v>218</v>
      </c>
      <c r="C35" s="364"/>
      <c r="D35" s="366"/>
      <c r="E35" s="361"/>
      <c r="F35" s="363" t="s">
        <v>236</v>
      </c>
      <c r="G35" s="364"/>
      <c r="H35" s="372"/>
    </row>
    <row r="36" spans="2:8" ht="25.5" customHeight="1" x14ac:dyDescent="0.3">
      <c r="B36" s="363" t="s">
        <v>219</v>
      </c>
      <c r="C36" s="364"/>
      <c r="D36" s="366"/>
      <c r="E36" s="361"/>
      <c r="F36" s="363" t="s">
        <v>237</v>
      </c>
      <c r="G36" s="364"/>
      <c r="H36" s="372"/>
    </row>
    <row r="37" spans="2:8" ht="25.5" customHeight="1" x14ac:dyDescent="0.3">
      <c r="B37" s="363" t="s">
        <v>220</v>
      </c>
      <c r="C37" s="364"/>
      <c r="D37" s="366"/>
      <c r="E37" s="361"/>
      <c r="F37" s="363" t="s">
        <v>238</v>
      </c>
      <c r="G37" s="364"/>
      <c r="H37" s="372"/>
    </row>
    <row r="38" spans="2:8" ht="25.5" customHeight="1" x14ac:dyDescent="0.3">
      <c r="B38" s="363" t="s">
        <v>221</v>
      </c>
      <c r="C38" s="364"/>
      <c r="D38" s="366"/>
      <c r="E38" s="361"/>
      <c r="F38" s="363" t="s">
        <v>239</v>
      </c>
      <c r="G38" s="364"/>
      <c r="H38" s="372"/>
    </row>
    <row r="39" spans="2:8" ht="25.5" customHeight="1" x14ac:dyDescent="0.3">
      <c r="B39" s="363" t="s">
        <v>222</v>
      </c>
      <c r="C39" s="364"/>
      <c r="D39" s="366"/>
      <c r="E39" s="361"/>
      <c r="F39" s="363" t="s">
        <v>240</v>
      </c>
      <c r="G39" s="364"/>
      <c r="H39" s="372"/>
    </row>
    <row r="40" spans="2:8" ht="25.5" customHeight="1" x14ac:dyDescent="0.3">
      <c r="B40" s="363" t="s">
        <v>223</v>
      </c>
      <c r="C40" s="364"/>
      <c r="D40" s="366"/>
      <c r="E40" s="361"/>
      <c r="F40" s="363" t="s">
        <v>241</v>
      </c>
      <c r="G40" s="364"/>
      <c r="H40" s="372"/>
    </row>
    <row r="41" spans="2:8" ht="25.5" customHeight="1" x14ac:dyDescent="0.3">
      <c r="B41" s="363" t="s">
        <v>224</v>
      </c>
      <c r="C41" s="364"/>
      <c r="D41" s="366"/>
      <c r="E41" s="361"/>
      <c r="F41" s="363" t="s">
        <v>242</v>
      </c>
      <c r="G41" s="364"/>
      <c r="H41" s="372"/>
    </row>
    <row r="42" spans="2:8" ht="25.5" customHeight="1" x14ac:dyDescent="0.3">
      <c r="B42" s="367" t="s">
        <v>225</v>
      </c>
      <c r="C42" s="368"/>
      <c r="D42" s="370"/>
      <c r="E42" s="361"/>
      <c r="F42" s="367" t="s">
        <v>243</v>
      </c>
      <c r="G42" s="368"/>
      <c r="H42" s="373"/>
    </row>
    <row r="43" spans="2:8" x14ac:dyDescent="0.3">
      <c r="B43" s="155" t="s">
        <v>603</v>
      </c>
      <c r="F43" s="43"/>
    </row>
    <row r="49" spans="1:1" x14ac:dyDescent="0.3">
      <c r="A49" s="18"/>
    </row>
    <row r="61" spans="1:1" ht="309" customHeight="1" x14ac:dyDescent="0.3"/>
    <row r="65" spans="1:1" ht="6.75" customHeight="1" x14ac:dyDescent="0.3"/>
    <row r="66" spans="1:1" ht="7.5" hidden="1" customHeight="1" x14ac:dyDescent="0.3"/>
    <row r="71" spans="1:1" x14ac:dyDescent="0.3">
      <c r="A71" s="18"/>
    </row>
    <row r="77" spans="1:1" ht="4.5" customHeight="1" x14ac:dyDescent="0.3"/>
    <row r="79" spans="1:1" ht="6.75" customHeight="1" x14ac:dyDescent="0.3"/>
    <row r="80" spans="1:1" ht="7.5" hidden="1" customHeight="1" x14ac:dyDescent="0.3"/>
    <row r="85" spans="1:1" x14ac:dyDescent="0.3">
      <c r="A85" s="18"/>
    </row>
    <row r="91" spans="1:1" ht="4.5" customHeight="1" x14ac:dyDescent="0.3"/>
  </sheetData>
  <sheetProtection sheet="1" objects="1" scenarios="1" formatCells="0" formatColumns="0" formatRows="0" insertHyperlinks="0" selectLockedCells="1" sort="0" autoFilter="0"/>
  <conditionalFormatting sqref="B6:D23">
    <cfRule type="expression" dxfId="90" priority="1">
      <formula>MOD(ROW(A2),2)=0</formula>
    </cfRule>
    <cfRule type="expression" dxfId="89" priority="2">
      <formula>MOD(ROW(A1),2)=0</formula>
    </cfRule>
  </conditionalFormatting>
  <conditionalFormatting sqref="B25:D42">
    <cfRule type="expression" dxfId="88" priority="5">
      <formula>MOD(ROW(XFD1048573),2)=0</formula>
    </cfRule>
    <cfRule type="expression" dxfId="87" priority="6">
      <formula>MOD(ROW(XFD1048572),2)=0</formula>
    </cfRule>
  </conditionalFormatting>
  <conditionalFormatting sqref="F6:H23">
    <cfRule type="expression" dxfId="86" priority="3">
      <formula>MOD(ROW(A2),2)=0</formula>
    </cfRule>
    <cfRule type="expression" dxfId="85" priority="4">
      <formula>MOD(ROW(A1),2)=0</formula>
    </cfRule>
  </conditionalFormatting>
  <conditionalFormatting sqref="F25:H42">
    <cfRule type="expression" dxfId="84" priority="7">
      <formula>MOD(ROW(XFD1048573),2)=0</formula>
    </cfRule>
    <cfRule type="expression" dxfId="83" priority="8">
      <formula>MOD(ROW(XFD1048572),2)=0</formula>
    </cfRule>
  </conditionalFormatting>
  <dataValidations count="3">
    <dataValidation type="list" allowBlank="1" showInputMessage="1" showErrorMessage="1" sqref="D24" xr:uid="{00000000-0002-0000-0500-000000000000}">
      <formula1>"-5,-4,-3,-2,-1,0,1,2,3,4,5"</formula1>
    </dataValidation>
    <dataValidation type="list" showInputMessage="1" showErrorMessage="1" sqref="D6:D23 D25:D42" xr:uid="{00000000-0002-0000-0500-000001000000}">
      <formula1>"1,2,3,4,5"</formula1>
    </dataValidation>
    <dataValidation type="list" allowBlank="1" showInputMessage="1" showErrorMessage="1" sqref="H6:H23 H25:H42" xr:uid="{00000000-0002-0000-0500-000002000000}">
      <formula1>"-1,-2,-3,-4,-5"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0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52">
    <tabColor theme="4" tint="0.39997558519241921"/>
    <pageSetUpPr fitToPage="1"/>
  </sheetPr>
  <dimension ref="A1:Q87"/>
  <sheetViews>
    <sheetView showGridLines="0" zoomScaleNormal="100" workbookViewId="0">
      <pane ySplit="1" topLeftCell="A2" activePane="bottomLeft" state="frozen"/>
      <selection activeCell="T14" sqref="T14"/>
      <selection pane="bottomLeft" activeCell="D5" sqref="D5"/>
    </sheetView>
  </sheetViews>
  <sheetFormatPr baseColWidth="10" defaultColWidth="12.5546875" defaultRowHeight="14.4" x14ac:dyDescent="0.3"/>
  <cols>
    <col min="1" max="1" width="7" customWidth="1"/>
    <col min="2" max="2" width="3.109375" style="13" customWidth="1"/>
    <col min="3" max="3" width="3.33203125" style="20" customWidth="1"/>
    <col min="4" max="4" width="36.88671875" style="20" customWidth="1"/>
    <col min="5" max="6" width="4.5546875" style="20" customWidth="1"/>
    <col min="7" max="7" width="1.44140625" style="20" customWidth="1"/>
    <col min="8" max="8" width="38" style="20" customWidth="1"/>
    <col min="9" max="9" width="47.33203125" style="20" customWidth="1"/>
    <col min="10" max="10" width="9.33203125" style="20" customWidth="1"/>
    <col min="11" max="11" width="7" style="20" customWidth="1"/>
    <col min="12" max="20" width="4" style="20" customWidth="1"/>
    <col min="21" max="16384" width="12.5546875" style="20"/>
  </cols>
  <sheetData>
    <row r="1" spans="1:17" s="2" customFormat="1" ht="43.95" customHeight="1" x14ac:dyDescent="0.3">
      <c r="A1" s="19"/>
      <c r="B1" s="4" t="str">
        <f ca="1">' '!A110</f>
        <v>B E N C H M A R K I N G   C O M M U N I C A T I O N</v>
      </c>
      <c r="C1" s="4"/>
      <c r="D1" s="4"/>
      <c r="E1" s="4"/>
      <c r="F1" s="4"/>
      <c r="G1" s="4"/>
      <c r="H1" s="4"/>
      <c r="I1" s="141"/>
      <c r="J1" s="12"/>
      <c r="K1" s="12"/>
      <c r="L1" s="12"/>
    </row>
    <row r="2" spans="1:17" s="2" customFormat="1" ht="15.75" customHeight="1" x14ac:dyDescent="0.3">
      <c r="A2" s="13"/>
      <c r="B2" s="81"/>
      <c r="C2" s="12"/>
      <c r="D2" s="19"/>
      <c r="E2" s="12"/>
      <c r="F2" s="12"/>
      <c r="G2" s="12"/>
      <c r="H2" s="12"/>
      <c r="I2" s="12"/>
      <c r="J2" s="12"/>
      <c r="K2" s="12"/>
      <c r="L2" s="12"/>
    </row>
    <row r="3" spans="1:17" ht="61.5" customHeight="1" x14ac:dyDescent="0.4">
      <c r="A3" s="42"/>
      <c r="B3" s="669"/>
      <c r="C3" s="20" t="str">
        <f ca="1">' '!A112</f>
        <v>No.</v>
      </c>
      <c r="D3" s="34" t="str">
        <f ca="1">' '!A113</f>
        <v>Objets de comparaison</v>
      </c>
      <c r="E3" s="37" t="str">
        <f ca="1">' '!A115</f>
        <v>Nous</v>
      </c>
      <c r="F3" s="38" t="str">
        <f ca="1">' '!A116</f>
        <v>Concurrence</v>
      </c>
      <c r="H3" s="24"/>
      <c r="I3" s="34" t="str">
        <f ca="1">' '!A165</f>
        <v>Remarques</v>
      </c>
    </row>
    <row r="4" spans="1:17" ht="11.25" customHeight="1" x14ac:dyDescent="0.4">
      <c r="B4" s="669"/>
      <c r="D4" s="34"/>
      <c r="E4" s="39" t="s">
        <v>53</v>
      </c>
      <c r="F4" s="40" t="s">
        <v>54</v>
      </c>
      <c r="H4" s="24"/>
      <c r="I4" s="36"/>
    </row>
    <row r="5" spans="1:17" ht="18" x14ac:dyDescent="0.3">
      <c r="A5" s="41"/>
      <c r="B5" s="396">
        <f>IF(E5&gt;F5,1,
IF(E5&lt;F5,3,2))</f>
        <v>1</v>
      </c>
      <c r="C5" s="397">
        <v>1</v>
      </c>
      <c r="D5" s="398" t="s">
        <v>416</v>
      </c>
      <c r="E5" s="399">
        <v>2</v>
      </c>
      <c r="F5" s="400">
        <v>1</v>
      </c>
      <c r="G5" s="401"/>
      <c r="H5" s="402"/>
      <c r="I5" s="403"/>
      <c r="J5" s="52"/>
    </row>
    <row r="6" spans="1:17" ht="18" x14ac:dyDescent="0.3">
      <c r="A6" s="41"/>
      <c r="B6" s="396">
        <f t="shared" ref="B6:B34" si="0">IF(E6&gt;F6,1,
IF(E6&lt;F6,3,2))</f>
        <v>3</v>
      </c>
      <c r="C6" s="404">
        <v>2</v>
      </c>
      <c r="D6" s="405" t="s">
        <v>417</v>
      </c>
      <c r="E6" s="406">
        <v>1</v>
      </c>
      <c r="F6" s="407">
        <v>3</v>
      </c>
      <c r="G6" s="408"/>
      <c r="H6" s="409"/>
      <c r="I6" s="410"/>
      <c r="Q6" s="13"/>
    </row>
    <row r="7" spans="1:17" ht="18" x14ac:dyDescent="0.3">
      <c r="A7" s="41"/>
      <c r="B7" s="396">
        <f t="shared" si="0"/>
        <v>3</v>
      </c>
      <c r="C7" s="404">
        <v>3</v>
      </c>
      <c r="D7" s="405"/>
      <c r="E7" s="406">
        <v>1</v>
      </c>
      <c r="F7" s="407">
        <v>2</v>
      </c>
      <c r="G7" s="408"/>
      <c r="H7" s="409"/>
      <c r="I7" s="410"/>
      <c r="Q7" s="13"/>
    </row>
    <row r="8" spans="1:17" ht="18" x14ac:dyDescent="0.3">
      <c r="A8" s="41"/>
      <c r="B8" s="396">
        <f t="shared" si="0"/>
        <v>3</v>
      </c>
      <c r="C8" s="404">
        <v>4</v>
      </c>
      <c r="D8" s="405"/>
      <c r="E8" s="406">
        <v>-1</v>
      </c>
      <c r="F8" s="407">
        <v>1</v>
      </c>
      <c r="G8" s="408"/>
      <c r="H8" s="409"/>
      <c r="I8" s="410"/>
      <c r="Q8" s="13"/>
    </row>
    <row r="9" spans="1:17" ht="18" x14ac:dyDescent="0.3">
      <c r="A9" s="41"/>
      <c r="B9" s="396">
        <f t="shared" si="0"/>
        <v>3</v>
      </c>
      <c r="C9" s="404">
        <v>5</v>
      </c>
      <c r="D9" s="405"/>
      <c r="E9" s="406">
        <v>-3</v>
      </c>
      <c r="F9" s="407">
        <v>1</v>
      </c>
      <c r="G9" s="408"/>
      <c r="H9" s="409"/>
      <c r="I9" s="410"/>
      <c r="Q9" s="13"/>
    </row>
    <row r="10" spans="1:17" ht="18" x14ac:dyDescent="0.3">
      <c r="A10" s="41"/>
      <c r="B10" s="396">
        <f t="shared" si="0"/>
        <v>2</v>
      </c>
      <c r="C10" s="404">
        <v>6</v>
      </c>
      <c r="D10" s="405"/>
      <c r="E10" s="406">
        <v>1</v>
      </c>
      <c r="F10" s="407">
        <v>1</v>
      </c>
      <c r="G10" s="408"/>
      <c r="H10" s="409"/>
      <c r="I10" s="410"/>
      <c r="Q10" s="13"/>
    </row>
    <row r="11" spans="1:17" ht="18" x14ac:dyDescent="0.3">
      <c r="A11" s="41"/>
      <c r="B11" s="396">
        <f t="shared" si="0"/>
        <v>3</v>
      </c>
      <c r="C11" s="404">
        <v>7</v>
      </c>
      <c r="D11" s="405"/>
      <c r="E11" s="406">
        <v>-3</v>
      </c>
      <c r="F11" s="407">
        <v>1</v>
      </c>
      <c r="G11" s="408"/>
      <c r="H11" s="409"/>
      <c r="I11" s="410"/>
      <c r="Q11" s="13"/>
    </row>
    <row r="12" spans="1:17" ht="18" x14ac:dyDescent="0.3">
      <c r="A12" s="41"/>
      <c r="B12" s="396">
        <f t="shared" si="0"/>
        <v>1</v>
      </c>
      <c r="C12" s="404">
        <v>8</v>
      </c>
      <c r="D12" s="405"/>
      <c r="E12" s="406">
        <v>3</v>
      </c>
      <c r="F12" s="407">
        <v>1</v>
      </c>
      <c r="G12" s="408"/>
      <c r="H12" s="409"/>
      <c r="I12" s="410"/>
      <c r="Q12" s="13"/>
    </row>
    <row r="13" spans="1:17" ht="18" x14ac:dyDescent="0.3">
      <c r="A13" s="41"/>
      <c r="B13" s="396">
        <f t="shared" si="0"/>
        <v>2</v>
      </c>
      <c r="C13" s="404">
        <v>9</v>
      </c>
      <c r="D13" s="405"/>
      <c r="E13" s="406">
        <v>1</v>
      </c>
      <c r="F13" s="407">
        <v>1</v>
      </c>
      <c r="G13" s="408"/>
      <c r="H13" s="409"/>
      <c r="I13" s="410"/>
      <c r="Q13" s="13"/>
    </row>
    <row r="14" spans="1:17" ht="18" x14ac:dyDescent="0.3">
      <c r="A14" s="41"/>
      <c r="B14" s="396">
        <f t="shared" si="0"/>
        <v>3</v>
      </c>
      <c r="C14" s="404">
        <v>10</v>
      </c>
      <c r="D14" s="405"/>
      <c r="E14" s="406">
        <v>-1</v>
      </c>
      <c r="F14" s="407">
        <v>1</v>
      </c>
      <c r="G14" s="408"/>
      <c r="H14" s="409"/>
      <c r="I14" s="410"/>
      <c r="Q14" s="13"/>
    </row>
    <row r="15" spans="1:17" ht="18" x14ac:dyDescent="0.3">
      <c r="A15" s="41"/>
      <c r="B15" s="396">
        <f t="shared" si="0"/>
        <v>1</v>
      </c>
      <c r="C15" s="404">
        <v>11</v>
      </c>
      <c r="D15" s="411"/>
      <c r="E15" s="406">
        <v>2</v>
      </c>
      <c r="F15" s="407">
        <v>1</v>
      </c>
      <c r="G15" s="408"/>
      <c r="H15" s="409"/>
      <c r="I15" s="410"/>
      <c r="Q15" s="13"/>
    </row>
    <row r="16" spans="1:17" ht="18" x14ac:dyDescent="0.3">
      <c r="A16" s="41"/>
      <c r="B16" s="396">
        <f t="shared" si="0"/>
        <v>3</v>
      </c>
      <c r="C16" s="404">
        <v>12</v>
      </c>
      <c r="D16" s="405"/>
      <c r="E16" s="406">
        <v>-1</v>
      </c>
      <c r="F16" s="407">
        <v>1</v>
      </c>
      <c r="G16" s="408"/>
      <c r="H16" s="409"/>
      <c r="I16" s="410"/>
      <c r="Q16" s="13"/>
    </row>
    <row r="17" spans="1:17" ht="18" x14ac:dyDescent="0.3">
      <c r="A17" s="41"/>
      <c r="B17" s="396">
        <f t="shared" si="0"/>
        <v>3</v>
      </c>
      <c r="C17" s="404">
        <v>13</v>
      </c>
      <c r="D17" s="405"/>
      <c r="E17" s="406">
        <v>0</v>
      </c>
      <c r="F17" s="407">
        <v>1</v>
      </c>
      <c r="G17" s="408"/>
      <c r="H17" s="409"/>
      <c r="I17" s="410"/>
      <c r="Q17" s="13"/>
    </row>
    <row r="18" spans="1:17" ht="18" x14ac:dyDescent="0.3">
      <c r="A18" s="41"/>
      <c r="B18" s="396">
        <f t="shared" si="0"/>
        <v>3</v>
      </c>
      <c r="C18" s="404">
        <v>14</v>
      </c>
      <c r="D18" s="405"/>
      <c r="E18" s="406">
        <v>-2</v>
      </c>
      <c r="F18" s="407">
        <v>1</v>
      </c>
      <c r="G18" s="408"/>
      <c r="H18" s="409"/>
      <c r="I18" s="410"/>
      <c r="Q18" s="13"/>
    </row>
    <row r="19" spans="1:17" ht="18" x14ac:dyDescent="0.3">
      <c r="A19" s="41"/>
      <c r="B19" s="396">
        <f t="shared" si="0"/>
        <v>2</v>
      </c>
      <c r="C19" s="404">
        <v>15</v>
      </c>
      <c r="D19" s="405"/>
      <c r="E19" s="406">
        <v>0</v>
      </c>
      <c r="F19" s="407">
        <v>0</v>
      </c>
      <c r="G19" s="408"/>
      <c r="H19" s="409"/>
      <c r="I19" s="410"/>
      <c r="Q19" s="13"/>
    </row>
    <row r="20" spans="1:17" ht="18" x14ac:dyDescent="0.3">
      <c r="A20" s="41"/>
      <c r="B20" s="396">
        <f t="shared" si="0"/>
        <v>2</v>
      </c>
      <c r="C20" s="404">
        <v>16</v>
      </c>
      <c r="D20" s="405"/>
      <c r="E20" s="406">
        <v>0</v>
      </c>
      <c r="F20" s="407">
        <v>0</v>
      </c>
      <c r="G20" s="408"/>
      <c r="H20" s="409"/>
      <c r="I20" s="410"/>
      <c r="Q20" s="13"/>
    </row>
    <row r="21" spans="1:17" ht="18" x14ac:dyDescent="0.3">
      <c r="A21" s="41"/>
      <c r="B21" s="396">
        <f t="shared" si="0"/>
        <v>2</v>
      </c>
      <c r="C21" s="404">
        <v>17</v>
      </c>
      <c r="D21" s="405"/>
      <c r="E21" s="406">
        <v>0</v>
      </c>
      <c r="F21" s="407">
        <v>0</v>
      </c>
      <c r="G21" s="408"/>
      <c r="H21" s="409"/>
      <c r="I21" s="410"/>
      <c r="Q21" s="13"/>
    </row>
    <row r="22" spans="1:17" ht="18" x14ac:dyDescent="0.3">
      <c r="A22" s="41"/>
      <c r="B22" s="396">
        <f t="shared" si="0"/>
        <v>2</v>
      </c>
      <c r="C22" s="404">
        <v>18</v>
      </c>
      <c r="D22" s="405"/>
      <c r="E22" s="406">
        <v>0</v>
      </c>
      <c r="F22" s="407">
        <v>0</v>
      </c>
      <c r="G22" s="408"/>
      <c r="H22" s="409"/>
      <c r="I22" s="410"/>
      <c r="Q22" s="13"/>
    </row>
    <row r="23" spans="1:17" ht="18" x14ac:dyDescent="0.3">
      <c r="A23" s="41"/>
      <c r="B23" s="396">
        <f t="shared" si="0"/>
        <v>2</v>
      </c>
      <c r="C23" s="404">
        <v>19</v>
      </c>
      <c r="D23" s="405"/>
      <c r="E23" s="406">
        <v>0</v>
      </c>
      <c r="F23" s="407">
        <v>0</v>
      </c>
      <c r="G23" s="408"/>
      <c r="H23" s="409"/>
      <c r="I23" s="410"/>
      <c r="Q23" s="13"/>
    </row>
    <row r="24" spans="1:17" ht="18" x14ac:dyDescent="0.3">
      <c r="A24" s="41"/>
      <c r="B24" s="396">
        <f t="shared" si="0"/>
        <v>2</v>
      </c>
      <c r="C24" s="404">
        <v>20</v>
      </c>
      <c r="D24" s="405"/>
      <c r="E24" s="406">
        <v>0</v>
      </c>
      <c r="F24" s="407">
        <v>0</v>
      </c>
      <c r="G24" s="408"/>
      <c r="H24" s="409"/>
      <c r="I24" s="410"/>
      <c r="Q24" s="13"/>
    </row>
    <row r="25" spans="1:17" ht="18" x14ac:dyDescent="0.3">
      <c r="A25" s="41"/>
      <c r="B25" s="396">
        <f t="shared" si="0"/>
        <v>2</v>
      </c>
      <c r="C25" s="404">
        <v>21</v>
      </c>
      <c r="D25" s="405"/>
      <c r="E25" s="406">
        <v>0</v>
      </c>
      <c r="F25" s="407">
        <v>0</v>
      </c>
      <c r="G25" s="408"/>
      <c r="H25" s="409"/>
      <c r="I25" s="410"/>
      <c r="Q25" s="13"/>
    </row>
    <row r="26" spans="1:17" ht="18" x14ac:dyDescent="0.3">
      <c r="A26" s="41"/>
      <c r="B26" s="396">
        <f t="shared" si="0"/>
        <v>2</v>
      </c>
      <c r="C26" s="404">
        <v>22</v>
      </c>
      <c r="D26" s="405"/>
      <c r="E26" s="406">
        <v>0</v>
      </c>
      <c r="F26" s="407">
        <v>0</v>
      </c>
      <c r="G26" s="408"/>
      <c r="H26" s="409"/>
      <c r="I26" s="410"/>
      <c r="Q26" s="13"/>
    </row>
    <row r="27" spans="1:17" ht="18" x14ac:dyDescent="0.3">
      <c r="A27" s="41"/>
      <c r="B27" s="396">
        <f t="shared" si="0"/>
        <v>2</v>
      </c>
      <c r="C27" s="404">
        <v>23</v>
      </c>
      <c r="D27" s="405"/>
      <c r="E27" s="406">
        <v>0</v>
      </c>
      <c r="F27" s="407">
        <v>0</v>
      </c>
      <c r="G27" s="408"/>
      <c r="H27" s="409"/>
      <c r="I27" s="410"/>
    </row>
    <row r="28" spans="1:17" ht="18" x14ac:dyDescent="0.3">
      <c r="A28" s="41"/>
      <c r="B28" s="396">
        <f t="shared" si="0"/>
        <v>2</v>
      </c>
      <c r="C28" s="404">
        <v>24</v>
      </c>
      <c r="D28" s="405"/>
      <c r="E28" s="406">
        <v>0</v>
      </c>
      <c r="F28" s="407">
        <v>0</v>
      </c>
      <c r="G28" s="408"/>
      <c r="H28" s="409"/>
      <c r="I28" s="410"/>
    </row>
    <row r="29" spans="1:17" ht="18" x14ac:dyDescent="0.3">
      <c r="A29" s="41"/>
      <c r="B29" s="396">
        <f t="shared" si="0"/>
        <v>2</v>
      </c>
      <c r="C29" s="404">
        <v>25</v>
      </c>
      <c r="D29" s="405"/>
      <c r="E29" s="406">
        <v>0</v>
      </c>
      <c r="F29" s="407">
        <v>0</v>
      </c>
      <c r="G29" s="408"/>
      <c r="H29" s="409"/>
      <c r="I29" s="410"/>
    </row>
    <row r="30" spans="1:17" ht="18" x14ac:dyDescent="0.3">
      <c r="A30" s="41"/>
      <c r="B30" s="396">
        <f t="shared" si="0"/>
        <v>2</v>
      </c>
      <c r="C30" s="404">
        <v>26</v>
      </c>
      <c r="D30" s="405"/>
      <c r="E30" s="406">
        <v>0</v>
      </c>
      <c r="F30" s="407">
        <v>0</v>
      </c>
      <c r="G30" s="408"/>
      <c r="H30" s="409"/>
      <c r="I30" s="410"/>
    </row>
    <row r="31" spans="1:17" ht="18" x14ac:dyDescent="0.3">
      <c r="A31" s="41"/>
      <c r="B31" s="396">
        <f t="shared" si="0"/>
        <v>2</v>
      </c>
      <c r="C31" s="404">
        <v>27</v>
      </c>
      <c r="D31" s="405"/>
      <c r="E31" s="406">
        <v>0</v>
      </c>
      <c r="F31" s="407">
        <v>0</v>
      </c>
      <c r="G31" s="408"/>
      <c r="H31" s="409"/>
      <c r="I31" s="410"/>
      <c r="J31" s="25"/>
      <c r="K31" s="25"/>
    </row>
    <row r="32" spans="1:17" ht="18" x14ac:dyDescent="0.3">
      <c r="A32" s="41"/>
      <c r="B32" s="396">
        <f t="shared" si="0"/>
        <v>2</v>
      </c>
      <c r="C32" s="404">
        <v>28</v>
      </c>
      <c r="D32" s="405"/>
      <c r="E32" s="406">
        <v>0</v>
      </c>
      <c r="F32" s="407">
        <v>0</v>
      </c>
      <c r="G32" s="408"/>
      <c r="H32" s="409"/>
      <c r="I32" s="410"/>
      <c r="J32" s="26"/>
      <c r="K32" s="27"/>
    </row>
    <row r="33" spans="1:11" ht="18" x14ac:dyDescent="0.3">
      <c r="A33" s="41"/>
      <c r="B33" s="396">
        <f t="shared" si="0"/>
        <v>2</v>
      </c>
      <c r="C33" s="404">
        <v>29</v>
      </c>
      <c r="D33" s="405"/>
      <c r="E33" s="406">
        <v>0</v>
      </c>
      <c r="F33" s="407">
        <v>0</v>
      </c>
      <c r="G33" s="408"/>
      <c r="H33" s="409"/>
      <c r="I33" s="410"/>
      <c r="J33" s="26"/>
      <c r="K33" s="27"/>
    </row>
    <row r="34" spans="1:11" ht="18" x14ac:dyDescent="0.3">
      <c r="A34" s="41"/>
      <c r="B34" s="396">
        <f t="shared" si="0"/>
        <v>3</v>
      </c>
      <c r="C34" s="412">
        <v>30</v>
      </c>
      <c r="D34" s="413"/>
      <c r="E34" s="414">
        <v>2</v>
      </c>
      <c r="F34" s="415">
        <v>3</v>
      </c>
      <c r="G34" s="416"/>
      <c r="H34" s="417"/>
      <c r="I34" s="418"/>
      <c r="J34" s="26"/>
      <c r="K34" s="27"/>
    </row>
    <row r="35" spans="1:11" ht="18" x14ac:dyDescent="0.3">
      <c r="B35" s="155"/>
      <c r="D35" s="26"/>
      <c r="E35" s="28"/>
      <c r="F35" s="28"/>
      <c r="G35" s="29"/>
      <c r="H35" s="26"/>
      <c r="I35" s="30"/>
      <c r="J35" s="26"/>
      <c r="K35" s="27"/>
    </row>
    <row r="36" spans="1:11" ht="19.5" customHeight="1" x14ac:dyDescent="0.3">
      <c r="B36" s="9" t="s">
        <v>603</v>
      </c>
      <c r="C36" s="35"/>
      <c r="D36" s="26"/>
      <c r="E36" s="28"/>
      <c r="F36" s="28"/>
      <c r="G36" s="29"/>
      <c r="H36" s="26"/>
      <c r="I36" s="30"/>
      <c r="J36" s="26"/>
      <c r="K36" s="27"/>
    </row>
    <row r="37" spans="1:11" ht="18" x14ac:dyDescent="0.3">
      <c r="C37" s="35"/>
      <c r="D37" s="26"/>
      <c r="E37" s="28"/>
      <c r="F37" s="28"/>
      <c r="G37" s="29"/>
      <c r="H37" s="26"/>
      <c r="I37" s="30"/>
      <c r="J37" s="26"/>
      <c r="K37" s="27"/>
    </row>
    <row r="38" spans="1:11" ht="18" x14ac:dyDescent="0.3">
      <c r="C38" s="35"/>
      <c r="D38" s="26"/>
      <c r="E38" s="28"/>
      <c r="F38" s="28"/>
      <c r="G38" s="29"/>
      <c r="H38" s="26"/>
      <c r="I38" s="30"/>
      <c r="J38" s="26"/>
      <c r="K38" s="27"/>
    </row>
    <row r="39" spans="1:11" ht="18" x14ac:dyDescent="0.3">
      <c r="C39" s="35"/>
      <c r="D39" s="26"/>
      <c r="E39" s="28"/>
      <c r="F39" s="28"/>
      <c r="G39" s="29"/>
      <c r="H39" s="26"/>
      <c r="I39" s="30"/>
      <c r="J39" s="26"/>
      <c r="K39" s="27"/>
    </row>
    <row r="40" spans="1:11" ht="18" x14ac:dyDescent="0.3">
      <c r="C40" s="35"/>
      <c r="D40" s="26"/>
      <c r="E40" s="28"/>
      <c r="F40" s="28"/>
      <c r="G40" s="29"/>
      <c r="H40" s="26"/>
      <c r="I40" s="30"/>
      <c r="J40" s="26"/>
      <c r="K40" s="27"/>
    </row>
    <row r="41" spans="1:11" ht="18" x14ac:dyDescent="0.3">
      <c r="C41" s="35"/>
      <c r="D41" s="26"/>
      <c r="E41" s="28"/>
      <c r="F41" s="28"/>
      <c r="G41" s="29"/>
      <c r="H41" s="26"/>
      <c r="I41" s="30"/>
      <c r="J41" s="26"/>
      <c r="K41" s="27"/>
    </row>
    <row r="42" spans="1:11" ht="18" x14ac:dyDescent="0.3">
      <c r="C42" s="35"/>
      <c r="D42" s="26"/>
      <c r="E42" s="28"/>
      <c r="F42" s="28"/>
      <c r="G42" s="29"/>
      <c r="H42" s="26"/>
      <c r="I42" s="30"/>
      <c r="J42" s="26"/>
      <c r="K42" s="27"/>
    </row>
    <row r="43" spans="1:11" ht="18" x14ac:dyDescent="0.3">
      <c r="C43" s="35"/>
      <c r="D43" s="26"/>
      <c r="E43" s="28"/>
      <c r="F43" s="28"/>
      <c r="G43" s="29"/>
      <c r="H43" s="26"/>
      <c r="I43" s="30"/>
      <c r="J43" s="26"/>
      <c r="K43" s="27"/>
    </row>
    <row r="44" spans="1:11" ht="18" x14ac:dyDescent="0.3">
      <c r="C44" s="35"/>
      <c r="D44" s="26"/>
      <c r="E44" s="28"/>
      <c r="F44" s="28"/>
      <c r="G44" s="29"/>
      <c r="H44" s="26"/>
      <c r="I44" s="30"/>
      <c r="J44" s="26"/>
      <c r="K44" s="27"/>
    </row>
    <row r="45" spans="1:11" ht="18" x14ac:dyDescent="0.3">
      <c r="C45" s="35"/>
      <c r="D45" s="26"/>
      <c r="E45" s="31"/>
      <c r="F45" s="31"/>
      <c r="G45" s="29"/>
      <c r="H45" s="26"/>
      <c r="I45" s="30"/>
      <c r="J45" s="26"/>
      <c r="K45" s="27"/>
    </row>
    <row r="46" spans="1:11" ht="402.75" customHeight="1" x14ac:dyDescent="0.3">
      <c r="C46" s="35"/>
      <c r="D46" s="26"/>
      <c r="E46" s="28"/>
      <c r="F46" s="28"/>
      <c r="G46" s="29"/>
      <c r="H46" s="26"/>
      <c r="I46" s="30"/>
      <c r="J46" s="26"/>
      <c r="K46" s="27"/>
    </row>
    <row r="47" spans="1:11" ht="18" x14ac:dyDescent="0.3">
      <c r="C47" s="35"/>
      <c r="D47" s="26"/>
      <c r="E47" s="28"/>
      <c r="F47" s="28"/>
      <c r="G47" s="29"/>
      <c r="H47" s="26"/>
      <c r="I47" s="30"/>
      <c r="J47" s="26"/>
      <c r="K47" s="27"/>
    </row>
    <row r="48" spans="1:11" ht="18" x14ac:dyDescent="0.3">
      <c r="C48" s="35"/>
      <c r="E48" s="28"/>
      <c r="F48" s="28"/>
      <c r="G48" s="29"/>
      <c r="H48" s="26"/>
      <c r="I48" s="30"/>
      <c r="J48" s="26"/>
      <c r="K48" s="27"/>
    </row>
    <row r="49" spans="3:11" ht="18" x14ac:dyDescent="0.3">
      <c r="C49" s="35"/>
      <c r="D49" s="26"/>
      <c r="E49" s="28"/>
      <c r="F49" s="28"/>
      <c r="G49" s="29"/>
      <c r="H49" s="26"/>
      <c r="I49" s="30"/>
      <c r="J49" s="26"/>
      <c r="K49" s="27"/>
    </row>
    <row r="50" spans="3:11" ht="18" x14ac:dyDescent="0.3">
      <c r="C50" s="35"/>
      <c r="D50" s="26"/>
      <c r="E50" s="28"/>
      <c r="F50" s="28"/>
      <c r="G50" s="29"/>
      <c r="H50" s="26"/>
      <c r="I50" s="30"/>
      <c r="J50" s="26"/>
      <c r="K50" s="27"/>
    </row>
    <row r="51" spans="3:11" ht="18" x14ac:dyDescent="0.3">
      <c r="C51" s="35"/>
      <c r="D51" s="26"/>
      <c r="E51" s="28"/>
      <c r="F51" s="28"/>
      <c r="G51" s="29"/>
      <c r="H51" s="26"/>
      <c r="I51" s="30"/>
      <c r="J51" s="26"/>
      <c r="K51" s="27"/>
    </row>
    <row r="52" spans="3:11" ht="18" x14ac:dyDescent="0.3">
      <c r="C52" s="35"/>
      <c r="D52" s="26"/>
      <c r="E52" s="28"/>
      <c r="F52" s="28"/>
      <c r="G52" s="29"/>
      <c r="H52" s="26"/>
      <c r="I52" s="30"/>
      <c r="J52" s="26"/>
      <c r="K52" s="27"/>
    </row>
    <row r="62" spans="3:11" ht="15.6" x14ac:dyDescent="0.3">
      <c r="H62" s="32"/>
      <c r="I62" s="32"/>
    </row>
    <row r="68" spans="5:6" x14ac:dyDescent="0.3">
      <c r="E68" s="33"/>
      <c r="F68" s="33"/>
    </row>
    <row r="69" spans="5:6" x14ac:dyDescent="0.3">
      <c r="E69" s="13"/>
      <c r="F69" s="13"/>
    </row>
    <row r="70" spans="5:6" x14ac:dyDescent="0.3">
      <c r="E70" s="13"/>
      <c r="F70" s="13"/>
    </row>
    <row r="71" spans="5:6" x14ac:dyDescent="0.3">
      <c r="E71" s="13"/>
      <c r="F71" s="13"/>
    </row>
    <row r="72" spans="5:6" x14ac:dyDescent="0.3">
      <c r="E72" s="13"/>
      <c r="F72" s="13"/>
    </row>
    <row r="73" spans="5:6" x14ac:dyDescent="0.3">
      <c r="E73" s="13"/>
      <c r="F73" s="13"/>
    </row>
    <row r="74" spans="5:6" x14ac:dyDescent="0.3">
      <c r="E74" s="13"/>
      <c r="F74" s="13"/>
    </row>
    <row r="75" spans="5:6" x14ac:dyDescent="0.3">
      <c r="E75" s="13"/>
      <c r="F75" s="13"/>
    </row>
    <row r="76" spans="5:6" x14ac:dyDescent="0.3">
      <c r="E76" s="13"/>
      <c r="F76" s="13"/>
    </row>
    <row r="77" spans="5:6" x14ac:dyDescent="0.3">
      <c r="E77" s="13"/>
      <c r="F77" s="13"/>
    </row>
    <row r="78" spans="5:6" x14ac:dyDescent="0.3">
      <c r="E78" s="13"/>
      <c r="F78" s="13"/>
    </row>
    <row r="79" spans="5:6" x14ac:dyDescent="0.3">
      <c r="E79" s="13"/>
      <c r="F79" s="13"/>
    </row>
    <row r="80" spans="5:6" x14ac:dyDescent="0.3">
      <c r="E80" s="13"/>
      <c r="F80" s="13"/>
    </row>
    <row r="81" spans="5:6" x14ac:dyDescent="0.3">
      <c r="E81" s="13"/>
      <c r="F81" s="13"/>
    </row>
    <row r="82" spans="5:6" x14ac:dyDescent="0.3">
      <c r="E82" s="13"/>
      <c r="F82" s="13"/>
    </row>
    <row r="83" spans="5:6" x14ac:dyDescent="0.3">
      <c r="E83" s="13"/>
      <c r="F83" s="13"/>
    </row>
    <row r="84" spans="5:6" x14ac:dyDescent="0.3">
      <c r="E84" s="13"/>
      <c r="F84" s="13"/>
    </row>
    <row r="85" spans="5:6" x14ac:dyDescent="0.3">
      <c r="E85" s="13"/>
      <c r="F85" s="13"/>
    </row>
    <row r="86" spans="5:6" x14ac:dyDescent="0.3">
      <c r="E86" s="13"/>
      <c r="F86" s="13"/>
    </row>
    <row r="87" spans="5:6" x14ac:dyDescent="0.3">
      <c r="E87" s="13"/>
      <c r="F87" s="13"/>
    </row>
  </sheetData>
  <sheetProtection sheet="1" objects="1" scenarios="1" formatCells="0" formatColumns="0" formatRows="0" insertHyperlinks="0" selectLockedCells="1" sort="0" autoFilter="0"/>
  <mergeCells count="1">
    <mergeCell ref="B3:B4"/>
  </mergeCells>
  <conditionalFormatting sqref="B5:B34">
    <cfRule type="iconSet" priority="1">
      <iconSet iconSet="3Signs" showValue="0" reverse="1">
        <cfvo type="percent" val="0"/>
        <cfvo type="num" val="2"/>
        <cfvo type="num" val="3"/>
      </iconSet>
    </cfRule>
    <cfRule type="expression" dxfId="82" priority="2">
      <formula>MOD(ROW(A9),2)=1</formula>
    </cfRule>
    <cfRule type="expression" dxfId="81" priority="3">
      <formula>MOD(ROW(A9),2)=0</formula>
    </cfRule>
  </conditionalFormatting>
  <conditionalFormatting sqref="C5:C22 C23:E23 C24:I34">
    <cfRule type="expression" dxfId="80" priority="12">
      <formula>MOD(ROW(B9),2)=1</formula>
    </cfRule>
    <cfRule type="expression" dxfId="79" priority="13">
      <formula>MOD(ROW(B9),2)=0</formula>
    </cfRule>
  </conditionalFormatting>
  <conditionalFormatting sqref="D20:E22 F20:I23">
    <cfRule type="expression" dxfId="78" priority="10">
      <formula>MOD(ROW(C24),2)=1</formula>
    </cfRule>
    <cfRule type="expression" dxfId="77" priority="11">
      <formula>MOD(ROW(C24),2)=0</formula>
    </cfRule>
  </conditionalFormatting>
  <conditionalFormatting sqref="D5:I19">
    <cfRule type="expression" dxfId="76" priority="4">
      <formula>MOD(ROW(C9),2)=1</formula>
    </cfRule>
    <cfRule type="expression" dxfId="75" priority="5">
      <formula>MOD(ROW(C9),2)=0</formula>
    </cfRule>
  </conditionalFormatting>
  <conditionalFormatting sqref="G35:G52">
    <cfRule type="iconSet" priority="16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I35:I52">
    <cfRule type="iconSet" priority="15">
      <iconSet iconSet="3Signs" showValue="0" reverse="1">
        <cfvo type="percent" val="0"/>
        <cfvo type="num" val="2"/>
        <cfvo type="num" val="3"/>
      </iconSet>
    </cfRule>
  </conditionalFormatting>
  <conditionalFormatting sqref="K32 K34 K36 K44 K46:K52">
    <cfRule type="cellIs" dxfId="74" priority="18" operator="equal">
      <formula>3</formula>
    </cfRule>
    <cfRule type="cellIs" dxfId="73" priority="19" operator="equal">
      <formula>2</formula>
    </cfRule>
    <cfRule type="cellIs" dxfId="72" priority="20" operator="equal">
      <formula>1</formula>
    </cfRule>
  </conditionalFormatting>
  <conditionalFormatting sqref="K32:K52">
    <cfRule type="iconSet" priority="22">
      <iconSet iconSet="3Symbols2" showValue="0" reverse="1">
        <cfvo type="percent" val="0"/>
        <cfvo type="num" val="2"/>
        <cfvo type="num" val="3"/>
      </iconSet>
    </cfRule>
    <cfRule type="cellIs" dxfId="71" priority="23" operator="equal">
      <formula>3</formula>
    </cfRule>
    <cfRule type="cellIs" dxfId="70" priority="24" operator="equal">
      <formula>2</formula>
    </cfRule>
    <cfRule type="cellIs" dxfId="69" priority="25" operator="equal">
      <formula>1</formula>
    </cfRule>
  </conditionalFormatting>
  <dataValidations count="4">
    <dataValidation type="list" allowBlank="1" showInputMessage="1" showErrorMessage="1" sqref="E5:F34" xr:uid="{00000000-0002-0000-0600-000000000000}">
      <formula1>"3,2,1,0,-1,-2,-3"</formula1>
    </dataValidation>
    <dataValidation type="list" allowBlank="1" showInputMessage="1" showErrorMessage="1" sqref="K32:K52 I35:I52" xr:uid="{00000000-0002-0000-0600-000001000000}">
      <formula1>"1,2,3"</formula1>
    </dataValidation>
    <dataValidation type="list" allowBlank="1" showInputMessage="1" showErrorMessage="1" sqref="E35:F52" xr:uid="{00000000-0002-0000-0600-000002000000}">
      <formula1>"1,2,3,4,5,6,7,8,9,10,11"</formula1>
    </dataValidation>
    <dataValidation type="list" allowBlank="1" showInputMessage="1" showErrorMessage="1" sqref="G35:G52" xr:uid="{00000000-0002-0000-0600-000003000000}">
      <formula1>"1,2,3,4,5"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1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44CC66DE-A1DC-4F79-A5DD-463CCB22DD9A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E35:F52</xm:sqref>
        </x14:conditionalFormatting>
        <x14:conditionalFormatting xmlns:xm="http://schemas.microsoft.com/office/excel/2006/main">
          <x14:cfRule type="iconSet" priority="21" id="{4C0D29F3-7CB4-4CAA-877C-30508D79673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K32 K34 K36 K44 K46:K52</xm:sqref>
        </x14:conditionalFormatting>
        <x14:conditionalFormatting xmlns:xm="http://schemas.microsoft.com/office/excel/2006/main">
          <x14:cfRule type="iconSet" priority="17" id="{F2FFB28C-04AA-40D1-8E1E-06C6AC398086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K33 K35 K37:K43 K45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Massnahmen">
    <tabColor theme="6" tint="0.39997558519241921"/>
    <pageSetUpPr fitToPage="1"/>
  </sheetPr>
  <dimension ref="A1:V93"/>
  <sheetViews>
    <sheetView showGridLines="0" zoomScaleNormal="100" workbookViewId="0">
      <pane ySplit="6" topLeftCell="A7" activePane="bottomLeft" state="frozen"/>
      <selection activeCell="T14" sqref="T14"/>
      <selection pane="bottomLeft" activeCell="A2" sqref="A2"/>
    </sheetView>
  </sheetViews>
  <sheetFormatPr baseColWidth="10" defaultColWidth="11.44140625" defaultRowHeight="18.75" customHeight="1" x14ac:dyDescent="0.3"/>
  <cols>
    <col min="1" max="1" width="6" style="94" customWidth="1"/>
    <col min="2" max="2" width="3.6640625" style="125" customWidth="1"/>
    <col min="3" max="3" width="30" style="99" customWidth="1"/>
    <col min="4" max="4" width="3.33203125" style="126" customWidth="1"/>
    <col min="5" max="5" width="28.33203125" style="99" customWidth="1"/>
    <col min="6" max="6" width="2" style="99" customWidth="1"/>
    <col min="7" max="7" width="9.44140625" style="100" customWidth="1"/>
    <col min="8" max="8" width="8.6640625" style="100" customWidth="1"/>
    <col min="9" max="9" width="7.109375" style="100" bestFit="1" customWidth="1"/>
    <col min="10" max="11" width="7.5546875" style="100" hidden="1" customWidth="1"/>
    <col min="12" max="12" width="4.5546875" style="101" customWidth="1"/>
    <col min="13" max="13" width="3.33203125" style="125" customWidth="1"/>
    <col min="14" max="14" width="37.88671875" style="99" customWidth="1"/>
    <col min="15" max="15" width="3.33203125" style="125" customWidth="1"/>
    <col min="16" max="16" width="41.5546875" style="99" customWidth="1"/>
    <col min="17" max="17" width="3.109375" style="99" bestFit="1" customWidth="1"/>
    <col min="18" max="20" width="10.33203125" style="99" bestFit="1" customWidth="1"/>
    <col min="21" max="21" width="4.5546875" style="101" customWidth="1"/>
    <col min="22" max="22" width="3.88671875" style="103" customWidth="1"/>
    <col min="23" max="42" width="3.88671875" style="1" customWidth="1"/>
    <col min="43" max="16384" width="11.44140625" style="1"/>
  </cols>
  <sheetData>
    <row r="1" spans="1:22" s="2" customFormat="1" ht="43.95" customHeight="1" x14ac:dyDescent="0.3">
      <c r="A1" s="19"/>
      <c r="B1" s="19"/>
      <c r="C1" s="4" t="str">
        <f ca="1">' '!A145</f>
        <v xml:space="preserve">O B J E C T I F S  &amp;  M E S U R E S    C O M M U N I C A T I O N </v>
      </c>
      <c r="D1" s="8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86"/>
      <c r="Q1" s="86"/>
      <c r="R1" s="4"/>
      <c r="S1" s="4"/>
      <c r="T1" s="4"/>
      <c r="U1" s="141"/>
      <c r="V1" s="44"/>
    </row>
    <row r="2" spans="1:22" s="2" customFormat="1" ht="0.9" customHeight="1" x14ac:dyDescent="0.3">
      <c r="A2" s="87"/>
      <c r="B2" s="19"/>
      <c r="C2" s="12"/>
      <c r="D2" s="88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89"/>
      <c r="Q2" s="89"/>
      <c r="R2" s="12"/>
      <c r="S2" s="12"/>
      <c r="T2" s="12"/>
      <c r="U2" s="54"/>
      <c r="V2" s="44"/>
    </row>
    <row r="3" spans="1:22" customFormat="1" ht="20.25" customHeight="1" x14ac:dyDescent="0.3">
      <c r="A3" s="90"/>
      <c r="B3" s="91"/>
      <c r="C3" s="81"/>
      <c r="D3" s="92"/>
      <c r="E3" s="91"/>
      <c r="F3" s="91"/>
      <c r="G3" s="91"/>
      <c r="H3" s="93"/>
      <c r="I3" s="91"/>
      <c r="K3" s="93"/>
      <c r="U3" s="13"/>
      <c r="V3" s="41"/>
    </row>
    <row r="4" spans="1:22" ht="6" customHeight="1" x14ac:dyDescent="0.3">
      <c r="B4" s="95"/>
      <c r="C4" s="95"/>
      <c r="D4" s="96"/>
      <c r="E4" s="95"/>
      <c r="F4" s="95"/>
      <c r="G4" s="95"/>
      <c r="H4" s="95"/>
      <c r="I4" s="95"/>
      <c r="J4" s="95"/>
      <c r="K4" s="95"/>
      <c r="L4" s="97"/>
      <c r="M4" s="98"/>
      <c r="O4" s="98"/>
      <c r="U4" s="102"/>
    </row>
    <row r="5" spans="1:22" s="60" customFormat="1" ht="18.75" customHeight="1" x14ac:dyDescent="0.3">
      <c r="A5" s="104"/>
      <c r="B5" s="105" t="str">
        <f ca="1">' '!A150</f>
        <v>No.</v>
      </c>
      <c r="C5" s="158" t="str">
        <f ca="1">' '!A158</f>
        <v>Objectifs Communication</v>
      </c>
      <c r="D5" s="159" t="str">
        <f ca="1">B5</f>
        <v>No.</v>
      </c>
      <c r="E5" s="160" t="str">
        <f ca="1">' '!A159</f>
        <v>Indicateurs</v>
      </c>
      <c r="F5" s="161"/>
      <c r="G5" s="162" t="str">
        <f ca="1">' '!A153</f>
        <v>ÊTRE</v>
      </c>
      <c r="H5" s="163" t="str">
        <f ca="1">' '!A154</f>
        <v>DOIT</v>
      </c>
      <c r="I5" s="164" t="str">
        <f ca="1">' '!A155</f>
        <v>atteint</v>
      </c>
      <c r="J5" s="165" t="str">
        <f ca="1">' '!A156</f>
        <v>rouge</v>
      </c>
      <c r="K5" s="165" t="str">
        <f ca="1">' '!A157</f>
        <v>jaune</v>
      </c>
      <c r="L5" s="166"/>
      <c r="M5" s="159" t="str">
        <f ca="1">B5</f>
        <v>No.</v>
      </c>
      <c r="N5" s="167" t="str">
        <f ca="1">' '!A151</f>
        <v>Groupe cible</v>
      </c>
      <c r="O5" s="159" t="str">
        <f ca="1">B5</f>
        <v>No.</v>
      </c>
      <c r="P5" s="178" t="str">
        <f ca="1">' '!A160</f>
        <v>Mesures</v>
      </c>
      <c r="Q5" s="194" t="s">
        <v>606</v>
      </c>
      <c r="R5" s="179" t="str">
        <f ca="1">' '!A164</f>
        <v>Qui?</v>
      </c>
      <c r="S5" s="179" t="str">
        <f ca="1">' '!A162</f>
        <v>Début</v>
      </c>
      <c r="T5" s="179" t="str">
        <f ca="1">' '!A163</f>
        <v>Fin</v>
      </c>
      <c r="U5" s="180"/>
      <c r="V5" s="106" t="s">
        <v>292</v>
      </c>
    </row>
    <row r="6" spans="1:22" s="115" customFormat="1" ht="9" customHeight="1" x14ac:dyDescent="0.3">
      <c r="A6" s="107"/>
      <c r="B6" s="108"/>
      <c r="C6" s="109"/>
      <c r="D6" s="110"/>
      <c r="E6" s="109"/>
      <c r="F6" s="109"/>
      <c r="G6" s="111"/>
      <c r="H6" s="111"/>
      <c r="I6" s="111"/>
      <c r="J6" s="111"/>
      <c r="K6" s="111"/>
      <c r="L6" s="112"/>
      <c r="M6" s="108"/>
      <c r="N6" s="113"/>
      <c r="O6" s="108"/>
      <c r="P6" s="113"/>
      <c r="Q6" s="181"/>
      <c r="R6" s="113"/>
      <c r="S6" s="113"/>
      <c r="T6" s="113"/>
      <c r="U6" s="112"/>
      <c r="V6" s="114" t="str">
        <f>IF($C$7="","","drucken")</f>
        <v>drucken</v>
      </c>
    </row>
    <row r="7" spans="1:22" ht="15.6" x14ac:dyDescent="0.3">
      <c r="A7" s="94" t="str">
        <f t="shared" ref="A7:A14" si="0">IF($C$7="","","ok")</f>
        <v>ok</v>
      </c>
      <c r="B7" s="177">
        <v>1</v>
      </c>
      <c r="C7" s="691" t="s">
        <v>378</v>
      </c>
      <c r="D7" s="676" t="s">
        <v>605</v>
      </c>
      <c r="E7" s="677" t="s">
        <v>379</v>
      </c>
      <c r="F7" s="168" t="str">
        <f>IF(E7&lt;&gt;"","?","")</f>
        <v>?</v>
      </c>
      <c r="G7" s="679">
        <v>50</v>
      </c>
      <c r="H7" s="670">
        <v>100</v>
      </c>
      <c r="I7" s="671">
        <f>IF(OR(G7="Ja",G7="JA",G7="ja",G7="Oui",G7="OUI",G7="oui"),100%,
IF(OR(G7="Nein",G7="NEIN",G7="nein",G7="Oon",G7="NON",G7="non"),0%,
IF(G7&lt;&gt;0,
IF(H7&gt;=G7,G7/H7,
IF(H7&lt;G7,H7/G7)),
0%)))</f>
        <v>0.5</v>
      </c>
      <c r="J7" s="672">
        <v>0.7</v>
      </c>
      <c r="K7" s="674">
        <v>0.9</v>
      </c>
      <c r="L7" s="681">
        <f t="shared" ref="L7:L13" si="1">IF(E7="","",IF(I7&lt;=J7,3,IF(I7&lt;=K7,2,1)))</f>
        <v>3</v>
      </c>
      <c r="M7" s="169" t="s">
        <v>876</v>
      </c>
      <c r="N7" s="170" t="s">
        <v>875</v>
      </c>
      <c r="O7" s="169" t="s">
        <v>781</v>
      </c>
      <c r="P7" s="619" t="s">
        <v>780</v>
      </c>
      <c r="Q7" s="183">
        <v>1</v>
      </c>
      <c r="R7" s="184"/>
      <c r="S7" s="184"/>
      <c r="T7" s="184"/>
      <c r="U7" s="185">
        <v>3</v>
      </c>
      <c r="V7" s="44" t="str">
        <f>IF($C$7="","","drucken")</f>
        <v>drucken</v>
      </c>
    </row>
    <row r="8" spans="1:22" ht="15.6" x14ac:dyDescent="0.3">
      <c r="A8" s="94" t="str">
        <f t="shared" si="0"/>
        <v>ok</v>
      </c>
      <c r="B8" s="116">
        <v>1</v>
      </c>
      <c r="C8" s="691"/>
      <c r="D8" s="676"/>
      <c r="E8" s="678"/>
      <c r="F8" s="171"/>
      <c r="G8" s="680"/>
      <c r="H8" s="670"/>
      <c r="I8" s="671"/>
      <c r="J8" s="673"/>
      <c r="K8" s="675"/>
      <c r="L8" s="681"/>
      <c r="M8" s="169" t="s">
        <v>877</v>
      </c>
      <c r="N8" s="170"/>
      <c r="O8" s="169" t="s">
        <v>782</v>
      </c>
      <c r="P8" s="182"/>
      <c r="Q8" s="183">
        <v>2</v>
      </c>
      <c r="R8" s="184"/>
      <c r="S8" s="184"/>
      <c r="T8" s="184"/>
      <c r="U8" s="185"/>
      <c r="V8" s="44" t="str">
        <f t="shared" ref="V8:V14" si="2">IF($C$7="","","drucken")</f>
        <v>drucken</v>
      </c>
    </row>
    <row r="9" spans="1:22" ht="15.6" x14ac:dyDescent="0.3">
      <c r="A9" s="94" t="str">
        <f t="shared" si="0"/>
        <v>ok</v>
      </c>
      <c r="B9" s="116">
        <v>1</v>
      </c>
      <c r="C9" s="691"/>
      <c r="D9" s="676" t="s">
        <v>173</v>
      </c>
      <c r="E9" s="686"/>
      <c r="F9" s="168" t="str">
        <f>IF(E9&lt;&gt;"","?","")</f>
        <v/>
      </c>
      <c r="G9" s="670"/>
      <c r="H9" s="670"/>
      <c r="I9" s="671">
        <f>IF(OR(G9="Ja",G9="JA",G9="ja",G9="Oui",G9="OUI",G9="oui"),100%,
IF(OR(G9="Nein",G9="NEIN",G9="nein",G9="Oon",G9="NON",G9="non"),0%,
IF(G9&lt;&gt;0,
IF(H9&gt;=G9,G9/H9,
IF(H9&lt;G9,H9/G9)),
0%)))</f>
        <v>0</v>
      </c>
      <c r="J9" s="672">
        <v>0.7</v>
      </c>
      <c r="K9" s="674">
        <v>0.9</v>
      </c>
      <c r="L9" s="681" t="str">
        <f t="shared" si="1"/>
        <v/>
      </c>
      <c r="M9" s="169" t="s">
        <v>878</v>
      </c>
      <c r="N9" s="170"/>
      <c r="O9" s="169" t="s">
        <v>783</v>
      </c>
      <c r="P9" s="182"/>
      <c r="Q9" s="183">
        <v>3</v>
      </c>
      <c r="R9" s="184"/>
      <c r="S9" s="184"/>
      <c r="T9" s="184"/>
      <c r="U9" s="185"/>
      <c r="V9" s="44" t="str">
        <f t="shared" si="2"/>
        <v>drucken</v>
      </c>
    </row>
    <row r="10" spans="1:22" ht="15.6" x14ac:dyDescent="0.3">
      <c r="A10" s="94" t="str">
        <f t="shared" si="0"/>
        <v>ok</v>
      </c>
      <c r="B10" s="116">
        <v>1</v>
      </c>
      <c r="C10" s="691"/>
      <c r="D10" s="676"/>
      <c r="E10" s="686"/>
      <c r="F10" s="171"/>
      <c r="G10" s="670"/>
      <c r="H10" s="670"/>
      <c r="I10" s="671"/>
      <c r="J10" s="673"/>
      <c r="K10" s="675"/>
      <c r="L10" s="681"/>
      <c r="M10" s="169" t="s">
        <v>879</v>
      </c>
      <c r="N10" s="170"/>
      <c r="O10" s="169" t="s">
        <v>784</v>
      </c>
      <c r="P10" s="182"/>
      <c r="Q10" s="183"/>
      <c r="R10" s="184"/>
      <c r="S10" s="184"/>
      <c r="T10" s="184"/>
      <c r="U10" s="185"/>
      <c r="V10" s="44" t="str">
        <f t="shared" si="2"/>
        <v>drucken</v>
      </c>
    </row>
    <row r="11" spans="1:22" ht="15.6" x14ac:dyDescent="0.3">
      <c r="A11" s="94" t="str">
        <f t="shared" si="0"/>
        <v>ok</v>
      </c>
      <c r="B11" s="116">
        <v>1</v>
      </c>
      <c r="C11" s="691"/>
      <c r="D11" s="692" t="s">
        <v>174</v>
      </c>
      <c r="E11" s="696"/>
      <c r="F11" s="168" t="str">
        <f>IF(E11&lt;&gt;"","?","")</f>
        <v/>
      </c>
      <c r="G11" s="670"/>
      <c r="H11" s="670"/>
      <c r="I11" s="671">
        <f t="shared" ref="I11" si="3">IF(OR(G11="Ja",G11="JA",G11="ja",G11="Oui",G11="OUI",G11="oui"),100%,
IF(OR(G11="Nein",G11="NEIN",G11="nein",G11="Oon",G11="NON",G11="non"),0%,
IF(G11&lt;&gt;0,
IF(H11&gt;=G11,G11/H11,
IF(H11&lt;G11,H11/G11)),
0%)))</f>
        <v>0</v>
      </c>
      <c r="J11" s="672">
        <v>0.7</v>
      </c>
      <c r="K11" s="674">
        <v>0.9</v>
      </c>
      <c r="L11" s="681" t="str">
        <f t="shared" si="1"/>
        <v/>
      </c>
      <c r="M11" s="169" t="s">
        <v>880</v>
      </c>
      <c r="N11" s="170"/>
      <c r="O11" s="169" t="s">
        <v>785</v>
      </c>
      <c r="P11" s="182"/>
      <c r="Q11" s="183"/>
      <c r="R11" s="184"/>
      <c r="S11" s="184"/>
      <c r="T11" s="184"/>
      <c r="U11" s="185"/>
      <c r="V11" s="44" t="str">
        <f t="shared" si="2"/>
        <v>drucken</v>
      </c>
    </row>
    <row r="12" spans="1:22" ht="15.6" x14ac:dyDescent="0.3">
      <c r="A12" s="94" t="str">
        <f t="shared" si="0"/>
        <v>ok</v>
      </c>
      <c r="B12" s="116">
        <v>1</v>
      </c>
      <c r="C12" s="691"/>
      <c r="D12" s="693"/>
      <c r="E12" s="686"/>
      <c r="F12" s="171"/>
      <c r="G12" s="670"/>
      <c r="H12" s="670"/>
      <c r="I12" s="671"/>
      <c r="J12" s="673"/>
      <c r="K12" s="675"/>
      <c r="L12" s="681"/>
      <c r="M12" s="169" t="s">
        <v>881</v>
      </c>
      <c r="N12" s="170"/>
      <c r="O12" s="169" t="s">
        <v>786</v>
      </c>
      <c r="P12" s="182"/>
      <c r="Q12" s="183"/>
      <c r="R12" s="184"/>
      <c r="S12" s="184"/>
      <c r="T12" s="184"/>
      <c r="U12" s="185"/>
      <c r="V12" s="44" t="str">
        <f t="shared" si="2"/>
        <v>drucken</v>
      </c>
    </row>
    <row r="13" spans="1:22" ht="15.6" x14ac:dyDescent="0.3">
      <c r="A13" s="94" t="str">
        <f t="shared" si="0"/>
        <v>ok</v>
      </c>
      <c r="B13" s="116">
        <v>1</v>
      </c>
      <c r="C13" s="691"/>
      <c r="D13" s="692" t="s">
        <v>175</v>
      </c>
      <c r="E13" s="686"/>
      <c r="F13" s="168" t="str">
        <f>IF(E13&lt;&gt;"","?","")</f>
        <v/>
      </c>
      <c r="G13" s="670"/>
      <c r="H13" s="670"/>
      <c r="I13" s="671">
        <f t="shared" ref="I13" si="4">IF(OR(G13="Ja",G13="JA",G13="ja",G13="Oui",G13="OUI",G13="oui"),100%,
IF(OR(G13="Nein",G13="NEIN",G13="nein",G13="Oon",G13="NON",G13="non"),0%,
IF(G13&lt;&gt;0,
IF(H13&gt;=G13,G13/H13,
IF(H13&lt;G13,H13/G13)),
0%)))</f>
        <v>0</v>
      </c>
      <c r="J13" s="672">
        <v>0.7</v>
      </c>
      <c r="K13" s="674">
        <v>0.9</v>
      </c>
      <c r="L13" s="681" t="str">
        <f t="shared" si="1"/>
        <v/>
      </c>
      <c r="M13" s="169" t="s">
        <v>882</v>
      </c>
      <c r="N13" s="170"/>
      <c r="O13" s="169" t="s">
        <v>787</v>
      </c>
      <c r="P13" s="182"/>
      <c r="Q13" s="183"/>
      <c r="R13" s="184"/>
      <c r="S13" s="184"/>
      <c r="T13" s="184"/>
      <c r="U13" s="185"/>
      <c r="V13" s="44" t="str">
        <f t="shared" si="2"/>
        <v>drucken</v>
      </c>
    </row>
    <row r="14" spans="1:22" ht="15.6" x14ac:dyDescent="0.3">
      <c r="A14" s="94" t="str">
        <f t="shared" si="0"/>
        <v>ok</v>
      </c>
      <c r="B14" s="116">
        <v>1</v>
      </c>
      <c r="C14" s="691"/>
      <c r="D14" s="693"/>
      <c r="E14" s="686"/>
      <c r="F14" s="172"/>
      <c r="G14" s="670"/>
      <c r="H14" s="670"/>
      <c r="I14" s="682"/>
      <c r="J14" s="673"/>
      <c r="K14" s="675"/>
      <c r="L14" s="681"/>
      <c r="M14" s="169" t="s">
        <v>883</v>
      </c>
      <c r="N14" s="170"/>
      <c r="O14" s="169" t="s">
        <v>788</v>
      </c>
      <c r="P14" s="182"/>
      <c r="Q14" s="183"/>
      <c r="R14" s="184"/>
      <c r="S14" s="184"/>
      <c r="T14" s="184"/>
      <c r="U14" s="185"/>
      <c r="V14" s="44" t="str">
        <f t="shared" si="2"/>
        <v>drucken</v>
      </c>
    </row>
    <row r="15" spans="1:22" ht="15.6" x14ac:dyDescent="0.3">
      <c r="A15" s="94" t="str">
        <f t="shared" ref="A15:A22" si="5">IF($C$15="","","ok")</f>
        <v>ok</v>
      </c>
      <c r="B15" s="177">
        <v>2</v>
      </c>
      <c r="C15" s="683" t="s">
        <v>380</v>
      </c>
      <c r="D15" s="684" t="s">
        <v>176</v>
      </c>
      <c r="E15" s="686"/>
      <c r="F15" s="173" t="str">
        <f>IF(E15&lt;&gt;"","?","")</f>
        <v/>
      </c>
      <c r="G15" s="687"/>
      <c r="H15" s="689"/>
      <c r="I15" s="690">
        <f>IF(OR(G15="Ja",G15="JA",G15="ja",G15="Oui",G15="OUI",G15="oui"),100%,
IF(OR(G15="Nein",G15="NEIN",G15="nein",G15="Oon",G15="NON",G15="non"),0%,
IF(G15&lt;&gt;0,
IF(H15&gt;=G15,G15/H15,
IF(H15&lt;G15,H15/G15)),
0%)))</f>
        <v>0</v>
      </c>
      <c r="J15" s="697">
        <v>0.7</v>
      </c>
      <c r="K15" s="699">
        <v>0.9</v>
      </c>
      <c r="L15" s="701" t="str">
        <f t="shared" ref="L15:L21" si="6">IF(E15="","",IF(I15&lt;=J15,3,IF(I15&lt;=K15,2,1)))</f>
        <v/>
      </c>
      <c r="M15" s="169" t="s">
        <v>884</v>
      </c>
      <c r="N15" s="174"/>
      <c r="O15" s="620" t="s">
        <v>789</v>
      </c>
      <c r="P15" s="186"/>
      <c r="Q15" s="187"/>
      <c r="R15" s="188"/>
      <c r="S15" s="188"/>
      <c r="T15" s="188"/>
      <c r="U15" s="189"/>
      <c r="V15" s="44" t="str">
        <f>IF($C$15="","","drucken")</f>
        <v>drucken</v>
      </c>
    </row>
    <row r="16" spans="1:22" ht="15.6" x14ac:dyDescent="0.3">
      <c r="A16" s="94" t="str">
        <f t="shared" si="5"/>
        <v>ok</v>
      </c>
      <c r="B16" s="116">
        <v>2</v>
      </c>
      <c r="C16" s="683"/>
      <c r="D16" s="685"/>
      <c r="E16" s="686"/>
      <c r="F16" s="175"/>
      <c r="G16" s="688"/>
      <c r="H16" s="689"/>
      <c r="I16" s="690"/>
      <c r="J16" s="698"/>
      <c r="K16" s="700"/>
      <c r="L16" s="701"/>
      <c r="M16" s="169" t="s">
        <v>885</v>
      </c>
      <c r="N16" s="174"/>
      <c r="O16" s="620" t="s">
        <v>790</v>
      </c>
      <c r="P16" s="186"/>
      <c r="Q16" s="187"/>
      <c r="R16" s="188"/>
      <c r="S16" s="188"/>
      <c r="T16" s="188"/>
      <c r="U16" s="189"/>
      <c r="V16" s="44" t="str">
        <f t="shared" ref="V16:V22" si="7">IF($C$15="","","drucken")</f>
        <v>drucken</v>
      </c>
    </row>
    <row r="17" spans="1:22" ht="15.6" x14ac:dyDescent="0.3">
      <c r="A17" s="94" t="str">
        <f t="shared" si="5"/>
        <v>ok</v>
      </c>
      <c r="B17" s="116">
        <v>2</v>
      </c>
      <c r="C17" s="683"/>
      <c r="D17" s="684" t="s">
        <v>177</v>
      </c>
      <c r="E17" s="695"/>
      <c r="F17" s="173" t="str">
        <f>IF(E17&lt;&gt;"","?","")</f>
        <v/>
      </c>
      <c r="G17" s="689"/>
      <c r="H17" s="689"/>
      <c r="I17" s="690">
        <f>IF(OR(G17="Ja",G17="JA",G17="ja",G17="Oui",G17="OUI",G17="oui"),100%,
IF(OR(G17="Nein",G17="NEIN",G17="nein",G17="Oon",G17="NON",G17="non"),0%,
IF(G17&lt;&gt;0,
IF(H17&gt;=G17,G17/H17,
IF(H17&lt;G17,H17/G17)),
0%)))</f>
        <v>0</v>
      </c>
      <c r="J17" s="697">
        <v>0.7</v>
      </c>
      <c r="K17" s="699">
        <v>0.9</v>
      </c>
      <c r="L17" s="701" t="str">
        <f t="shared" si="6"/>
        <v/>
      </c>
      <c r="M17" s="169" t="s">
        <v>886</v>
      </c>
      <c r="N17" s="174"/>
      <c r="O17" s="620" t="s">
        <v>791</v>
      </c>
      <c r="P17" s="186"/>
      <c r="Q17" s="187"/>
      <c r="R17" s="188"/>
      <c r="S17" s="188"/>
      <c r="T17" s="188"/>
      <c r="U17" s="189"/>
      <c r="V17" s="44" t="str">
        <f t="shared" si="7"/>
        <v>drucken</v>
      </c>
    </row>
    <row r="18" spans="1:22" ht="15.6" x14ac:dyDescent="0.3">
      <c r="A18" s="94" t="str">
        <f t="shared" si="5"/>
        <v>ok</v>
      </c>
      <c r="B18" s="116">
        <v>2</v>
      </c>
      <c r="C18" s="683"/>
      <c r="D18" s="685"/>
      <c r="E18" s="695"/>
      <c r="F18" s="175"/>
      <c r="G18" s="689"/>
      <c r="H18" s="689"/>
      <c r="I18" s="690"/>
      <c r="J18" s="698"/>
      <c r="K18" s="700"/>
      <c r="L18" s="701"/>
      <c r="M18" s="169" t="s">
        <v>887</v>
      </c>
      <c r="N18" s="174"/>
      <c r="O18" s="620" t="s">
        <v>792</v>
      </c>
      <c r="P18" s="186"/>
      <c r="Q18" s="187"/>
      <c r="R18" s="188"/>
      <c r="S18" s="188"/>
      <c r="T18" s="188"/>
      <c r="U18" s="189"/>
      <c r="V18" s="44" t="str">
        <f t="shared" si="7"/>
        <v>drucken</v>
      </c>
    </row>
    <row r="19" spans="1:22" ht="15.6" x14ac:dyDescent="0.3">
      <c r="A19" s="94" t="str">
        <f t="shared" si="5"/>
        <v>ok</v>
      </c>
      <c r="B19" s="116">
        <v>2</v>
      </c>
      <c r="C19" s="683"/>
      <c r="D19" s="684" t="s">
        <v>178</v>
      </c>
      <c r="E19" s="694"/>
      <c r="F19" s="173" t="str">
        <f>IF(E19&lt;&gt;"","?","")</f>
        <v/>
      </c>
      <c r="G19" s="689"/>
      <c r="H19" s="689"/>
      <c r="I19" s="690">
        <f t="shared" ref="I19" si="8">IF(OR(G19="Ja",G19="JA",G19="ja",G19="Oui",G19="OUI",G19="oui"),100%,
IF(OR(G19="Nein",G19="NEIN",G19="nein",G19="Oon",G19="NON",G19="non"),0%,
IF(G19&lt;&gt;0,
IF(H19&gt;=G19,G19/H19,
IF(H19&lt;G19,H19/G19)),
0%)))</f>
        <v>0</v>
      </c>
      <c r="J19" s="697">
        <v>0.7</v>
      </c>
      <c r="K19" s="699">
        <v>0.9</v>
      </c>
      <c r="L19" s="701" t="str">
        <f t="shared" si="6"/>
        <v/>
      </c>
      <c r="M19" s="169" t="s">
        <v>888</v>
      </c>
      <c r="N19" s="174"/>
      <c r="O19" s="620" t="s">
        <v>793</v>
      </c>
      <c r="P19" s="186"/>
      <c r="Q19" s="187"/>
      <c r="R19" s="188"/>
      <c r="S19" s="188"/>
      <c r="T19" s="188"/>
      <c r="U19" s="189"/>
      <c r="V19" s="44" t="str">
        <f t="shared" si="7"/>
        <v>drucken</v>
      </c>
    </row>
    <row r="20" spans="1:22" ht="15.6" x14ac:dyDescent="0.3">
      <c r="A20" s="94" t="str">
        <f t="shared" si="5"/>
        <v>ok</v>
      </c>
      <c r="B20" s="116">
        <v>2</v>
      </c>
      <c r="C20" s="683"/>
      <c r="D20" s="685"/>
      <c r="E20" s="695"/>
      <c r="F20" s="175"/>
      <c r="G20" s="689"/>
      <c r="H20" s="689"/>
      <c r="I20" s="690"/>
      <c r="J20" s="698"/>
      <c r="K20" s="700"/>
      <c r="L20" s="701"/>
      <c r="M20" s="169" t="s">
        <v>889</v>
      </c>
      <c r="N20" s="174"/>
      <c r="O20" s="620" t="s">
        <v>794</v>
      </c>
      <c r="P20" s="186"/>
      <c r="Q20" s="187"/>
      <c r="R20" s="188"/>
      <c r="S20" s="188"/>
      <c r="T20" s="188"/>
      <c r="U20" s="189"/>
      <c r="V20" s="44" t="str">
        <f t="shared" si="7"/>
        <v>drucken</v>
      </c>
    </row>
    <row r="21" spans="1:22" ht="15.6" x14ac:dyDescent="0.3">
      <c r="A21" s="94" t="str">
        <f t="shared" si="5"/>
        <v>ok</v>
      </c>
      <c r="B21" s="116">
        <v>2</v>
      </c>
      <c r="C21" s="683"/>
      <c r="D21" s="684" t="s">
        <v>179</v>
      </c>
      <c r="E21" s="695"/>
      <c r="F21" s="173" t="str">
        <f>IF(E21&lt;&gt;"","?","")</f>
        <v/>
      </c>
      <c r="G21" s="689"/>
      <c r="H21" s="689"/>
      <c r="I21" s="690">
        <f t="shared" ref="I21" si="9">IF(OR(G21="Ja",G21="JA",G21="ja",G21="Oui",G21="OUI",G21="oui"),100%,
IF(OR(G21="Nein",G21="NEIN",G21="nein",G21="Oon",G21="NON",G21="non"),0%,
IF(G21&lt;&gt;0,
IF(H21&gt;=G21,G21/H21,
IF(H21&lt;G21,H21/G21)),
0%)))</f>
        <v>0</v>
      </c>
      <c r="J21" s="697">
        <v>0.7</v>
      </c>
      <c r="K21" s="699">
        <v>0.9</v>
      </c>
      <c r="L21" s="701" t="str">
        <f t="shared" si="6"/>
        <v/>
      </c>
      <c r="M21" s="169" t="s">
        <v>890</v>
      </c>
      <c r="N21" s="174"/>
      <c r="O21" s="620" t="s">
        <v>795</v>
      </c>
      <c r="P21" s="186"/>
      <c r="Q21" s="187"/>
      <c r="R21" s="188"/>
      <c r="S21" s="188"/>
      <c r="T21" s="188"/>
      <c r="U21" s="189"/>
      <c r="V21" s="44" t="str">
        <f t="shared" si="7"/>
        <v>drucken</v>
      </c>
    </row>
    <row r="22" spans="1:22" ht="15.6" x14ac:dyDescent="0.3">
      <c r="A22" s="94" t="str">
        <f t="shared" si="5"/>
        <v>ok</v>
      </c>
      <c r="B22" s="116">
        <v>2</v>
      </c>
      <c r="C22" s="683"/>
      <c r="D22" s="685"/>
      <c r="E22" s="695"/>
      <c r="F22" s="176"/>
      <c r="G22" s="689"/>
      <c r="H22" s="689"/>
      <c r="I22" s="702"/>
      <c r="J22" s="698"/>
      <c r="K22" s="700"/>
      <c r="L22" s="701"/>
      <c r="M22" s="169" t="s">
        <v>891</v>
      </c>
      <c r="N22" s="174"/>
      <c r="O22" s="620" t="s">
        <v>796</v>
      </c>
      <c r="P22" s="186"/>
      <c r="Q22" s="187"/>
      <c r="R22" s="188"/>
      <c r="S22" s="188"/>
      <c r="T22" s="188"/>
      <c r="U22" s="189"/>
      <c r="V22" s="44" t="str">
        <f t="shared" si="7"/>
        <v>drucken</v>
      </c>
    </row>
    <row r="23" spans="1:22" ht="15.6" x14ac:dyDescent="0.3">
      <c r="A23" s="94" t="str">
        <f t="shared" ref="A23:A30" si="10">IF($C$23="","","ok")</f>
        <v>ok</v>
      </c>
      <c r="B23" s="177">
        <v>3</v>
      </c>
      <c r="C23" s="691" t="s">
        <v>381</v>
      </c>
      <c r="D23" s="692" t="s">
        <v>180</v>
      </c>
      <c r="E23" s="677"/>
      <c r="F23" s="168" t="str">
        <f>IF(E23&lt;&gt;"","?","")</f>
        <v/>
      </c>
      <c r="G23" s="679"/>
      <c r="H23" s="670"/>
      <c r="I23" s="671">
        <f>IF(OR(G23="Ja",G23="JA",G23="ja",G23="Oui",G23="OUI",G23="oui"),100%,
IF(OR(G23="Nein",G23="NEIN",G23="nein",G23="Oon",G23="NON",G23="non"),0%,
IF(G23&lt;&gt;0,
IF(H23&gt;=G23,G23/H23,
IF(H23&lt;G23,H23/G23)),
0%)))</f>
        <v>0</v>
      </c>
      <c r="J23" s="672">
        <v>0.7</v>
      </c>
      <c r="K23" s="674">
        <v>0.9</v>
      </c>
      <c r="L23" s="681" t="str">
        <f t="shared" ref="L23:L29" si="11">IF(E23="","",IF(I23&lt;=J23,3,IF(I23&lt;=K23,2,1)))</f>
        <v/>
      </c>
      <c r="M23" s="169" t="s">
        <v>892</v>
      </c>
      <c r="N23" s="170"/>
      <c r="O23" s="169" t="s">
        <v>797</v>
      </c>
      <c r="P23" s="182"/>
      <c r="Q23" s="183"/>
      <c r="R23" s="184"/>
      <c r="S23" s="184"/>
      <c r="T23" s="184"/>
      <c r="U23" s="185"/>
      <c r="V23" s="44" t="str">
        <f t="shared" ref="V23:V30" si="12">IF($C$23="","","drucken")</f>
        <v>drucken</v>
      </c>
    </row>
    <row r="24" spans="1:22" ht="15.6" x14ac:dyDescent="0.3">
      <c r="A24" s="94" t="str">
        <f t="shared" si="10"/>
        <v>ok</v>
      </c>
      <c r="B24" s="116">
        <v>3</v>
      </c>
      <c r="C24" s="691"/>
      <c r="D24" s="693"/>
      <c r="E24" s="678"/>
      <c r="F24" s="171"/>
      <c r="G24" s="680"/>
      <c r="H24" s="670"/>
      <c r="I24" s="671"/>
      <c r="J24" s="673"/>
      <c r="K24" s="675"/>
      <c r="L24" s="681"/>
      <c r="M24" s="169" t="s">
        <v>893</v>
      </c>
      <c r="N24" s="170"/>
      <c r="O24" s="169" t="s">
        <v>798</v>
      </c>
      <c r="P24" s="182"/>
      <c r="Q24" s="183"/>
      <c r="R24" s="184"/>
      <c r="S24" s="184"/>
      <c r="T24" s="184"/>
      <c r="U24" s="185"/>
      <c r="V24" s="44" t="str">
        <f t="shared" si="12"/>
        <v>drucken</v>
      </c>
    </row>
    <row r="25" spans="1:22" ht="15.6" x14ac:dyDescent="0.3">
      <c r="A25" s="94" t="str">
        <f t="shared" si="10"/>
        <v>ok</v>
      </c>
      <c r="B25" s="116">
        <v>3</v>
      </c>
      <c r="C25" s="691"/>
      <c r="D25" s="692" t="s">
        <v>181</v>
      </c>
      <c r="E25" s="686"/>
      <c r="F25" s="168" t="str">
        <f>IF(E25&lt;&gt;"","?","")</f>
        <v/>
      </c>
      <c r="G25" s="670"/>
      <c r="H25" s="670"/>
      <c r="I25" s="671">
        <f>IF(OR(G25="Ja",G25="JA",G25="ja",G25="Oui",G25="OUI",G25="oui"),100%,
IF(OR(G25="Nein",G25="NEIN",G25="nein",G25="Oon",G25="NON",G25="non"),0%,
IF(G25&lt;&gt;0,
IF(H25&gt;=G25,G25/H25,
IF(H25&lt;G25,H25/G25)),
0%)))</f>
        <v>0</v>
      </c>
      <c r="J25" s="672">
        <v>0.7</v>
      </c>
      <c r="K25" s="674">
        <v>0.9</v>
      </c>
      <c r="L25" s="681" t="str">
        <f t="shared" si="11"/>
        <v/>
      </c>
      <c r="M25" s="169" t="s">
        <v>894</v>
      </c>
      <c r="N25" s="170"/>
      <c r="O25" s="169" t="s">
        <v>799</v>
      </c>
      <c r="P25" s="182"/>
      <c r="Q25" s="183"/>
      <c r="R25" s="184"/>
      <c r="S25" s="184"/>
      <c r="T25" s="184"/>
      <c r="U25" s="185"/>
      <c r="V25" s="44" t="str">
        <f t="shared" si="12"/>
        <v>drucken</v>
      </c>
    </row>
    <row r="26" spans="1:22" ht="15.6" x14ac:dyDescent="0.3">
      <c r="A26" s="94" t="str">
        <f t="shared" si="10"/>
        <v>ok</v>
      </c>
      <c r="B26" s="116">
        <v>3</v>
      </c>
      <c r="C26" s="691"/>
      <c r="D26" s="693"/>
      <c r="E26" s="686"/>
      <c r="F26" s="171"/>
      <c r="G26" s="670"/>
      <c r="H26" s="670"/>
      <c r="I26" s="671"/>
      <c r="J26" s="673"/>
      <c r="K26" s="675"/>
      <c r="L26" s="681"/>
      <c r="M26" s="169" t="s">
        <v>895</v>
      </c>
      <c r="N26" s="170"/>
      <c r="O26" s="169" t="s">
        <v>800</v>
      </c>
      <c r="P26" s="182"/>
      <c r="Q26" s="183"/>
      <c r="R26" s="184"/>
      <c r="S26" s="184"/>
      <c r="T26" s="184"/>
      <c r="U26" s="185"/>
      <c r="V26" s="44" t="str">
        <f t="shared" si="12"/>
        <v>drucken</v>
      </c>
    </row>
    <row r="27" spans="1:22" ht="15.6" x14ac:dyDescent="0.3">
      <c r="A27" s="94" t="str">
        <f t="shared" si="10"/>
        <v>ok</v>
      </c>
      <c r="B27" s="116">
        <v>3</v>
      </c>
      <c r="C27" s="691"/>
      <c r="D27" s="692" t="s">
        <v>182</v>
      </c>
      <c r="E27" s="696"/>
      <c r="F27" s="168" t="str">
        <f>IF(E27&lt;&gt;"","?","")</f>
        <v/>
      </c>
      <c r="G27" s="670"/>
      <c r="H27" s="670"/>
      <c r="I27" s="671">
        <f t="shared" ref="I27" si="13">IF(OR(G27="Ja",G27="JA",G27="ja",G27="Oui",G27="OUI",G27="oui"),100%,
IF(OR(G27="Nein",G27="NEIN",G27="nein",G27="Oon",G27="NON",G27="non"),0%,
IF(G27&lt;&gt;0,
IF(H27&gt;=G27,G27/H27,
IF(H27&lt;G27,H27/G27)),
0%)))</f>
        <v>0</v>
      </c>
      <c r="J27" s="672">
        <v>0.7</v>
      </c>
      <c r="K27" s="674">
        <v>0.9</v>
      </c>
      <c r="L27" s="681" t="str">
        <f t="shared" si="11"/>
        <v/>
      </c>
      <c r="M27" s="169" t="s">
        <v>896</v>
      </c>
      <c r="N27" s="170"/>
      <c r="O27" s="169" t="s">
        <v>801</v>
      </c>
      <c r="P27" s="182"/>
      <c r="Q27" s="183"/>
      <c r="R27" s="184"/>
      <c r="S27" s="184"/>
      <c r="T27" s="184"/>
      <c r="U27" s="185"/>
      <c r="V27" s="44" t="str">
        <f t="shared" si="12"/>
        <v>drucken</v>
      </c>
    </row>
    <row r="28" spans="1:22" ht="15.6" x14ac:dyDescent="0.3">
      <c r="A28" s="94" t="str">
        <f t="shared" si="10"/>
        <v>ok</v>
      </c>
      <c r="B28" s="116">
        <v>3</v>
      </c>
      <c r="C28" s="691"/>
      <c r="D28" s="693"/>
      <c r="E28" s="686"/>
      <c r="F28" s="171"/>
      <c r="G28" s="670"/>
      <c r="H28" s="670"/>
      <c r="I28" s="671"/>
      <c r="J28" s="673"/>
      <c r="K28" s="675"/>
      <c r="L28" s="681"/>
      <c r="M28" s="169" t="s">
        <v>897</v>
      </c>
      <c r="N28" s="170"/>
      <c r="O28" s="169" t="s">
        <v>802</v>
      </c>
      <c r="P28" s="182"/>
      <c r="Q28" s="183"/>
      <c r="R28" s="184"/>
      <c r="S28" s="184"/>
      <c r="T28" s="184"/>
      <c r="U28" s="185"/>
      <c r="V28" s="44" t="str">
        <f t="shared" si="12"/>
        <v>drucken</v>
      </c>
    </row>
    <row r="29" spans="1:22" ht="15.6" x14ac:dyDescent="0.3">
      <c r="A29" s="94" t="str">
        <f t="shared" si="10"/>
        <v>ok</v>
      </c>
      <c r="B29" s="116">
        <v>3</v>
      </c>
      <c r="C29" s="691"/>
      <c r="D29" s="692" t="s">
        <v>183</v>
      </c>
      <c r="E29" s="686"/>
      <c r="F29" s="168" t="str">
        <f>IF(E29&lt;&gt;"","?","")</f>
        <v/>
      </c>
      <c r="G29" s="670"/>
      <c r="H29" s="670"/>
      <c r="I29" s="671">
        <f t="shared" ref="I29" si="14">IF(OR(G29="Ja",G29="JA",G29="ja",G29="Oui",G29="OUI",G29="oui"),100%,
IF(OR(G29="Nein",G29="NEIN",G29="nein",G29="Oon",G29="NON",G29="non"),0%,
IF(G29&lt;&gt;0,
IF(H29&gt;=G29,G29/H29,
IF(H29&lt;G29,H29/G29)),
0%)))</f>
        <v>0</v>
      </c>
      <c r="J29" s="672">
        <v>0.7</v>
      </c>
      <c r="K29" s="674">
        <v>0.9</v>
      </c>
      <c r="L29" s="681" t="str">
        <f t="shared" si="11"/>
        <v/>
      </c>
      <c r="M29" s="169" t="s">
        <v>898</v>
      </c>
      <c r="N29" s="170"/>
      <c r="O29" s="169" t="s">
        <v>803</v>
      </c>
      <c r="P29" s="182"/>
      <c r="Q29" s="183"/>
      <c r="R29" s="184"/>
      <c r="S29" s="184"/>
      <c r="T29" s="184"/>
      <c r="U29" s="185"/>
      <c r="V29" s="44" t="str">
        <f t="shared" si="12"/>
        <v>drucken</v>
      </c>
    </row>
    <row r="30" spans="1:22" ht="15.6" x14ac:dyDescent="0.3">
      <c r="A30" s="94" t="str">
        <f t="shared" si="10"/>
        <v>ok</v>
      </c>
      <c r="B30" s="116">
        <v>3</v>
      </c>
      <c r="C30" s="691"/>
      <c r="D30" s="693"/>
      <c r="E30" s="686"/>
      <c r="F30" s="172"/>
      <c r="G30" s="670"/>
      <c r="H30" s="670"/>
      <c r="I30" s="682"/>
      <c r="J30" s="673"/>
      <c r="K30" s="675"/>
      <c r="L30" s="681"/>
      <c r="M30" s="169" t="s">
        <v>899</v>
      </c>
      <c r="N30" s="170"/>
      <c r="O30" s="169" t="s">
        <v>804</v>
      </c>
      <c r="P30" s="182"/>
      <c r="Q30" s="183"/>
      <c r="R30" s="184"/>
      <c r="S30" s="184"/>
      <c r="T30" s="184"/>
      <c r="U30" s="185"/>
      <c r="V30" s="44" t="str">
        <f t="shared" si="12"/>
        <v>drucken</v>
      </c>
    </row>
    <row r="31" spans="1:22" ht="15.6" x14ac:dyDescent="0.3">
      <c r="A31" s="94" t="str">
        <f t="shared" ref="A31:A38" si="15">IF($C$31="","","ok")</f>
        <v/>
      </c>
      <c r="B31" s="177">
        <v>4</v>
      </c>
      <c r="C31" s="683"/>
      <c r="D31" s="684" t="s">
        <v>184</v>
      </c>
      <c r="E31" s="703"/>
      <c r="F31" s="173" t="str">
        <f>IF(E31&lt;&gt;"","?","")</f>
        <v/>
      </c>
      <c r="G31" s="687"/>
      <c r="H31" s="689"/>
      <c r="I31" s="690">
        <f>IF(OR(G31="Ja",G31="JA",G31="ja",G31="Oui",G31="OUI",G31="oui"),100%,
IF(OR(G31="Nein",G31="NEIN",G31="nein",G31="Oon",G31="NON",G31="non"),0%,
IF(G31&lt;&gt;0,
IF(H31&gt;=G31,G31/H31,
IF(H31&lt;G31,H31/G31)),
0%)))</f>
        <v>0</v>
      </c>
      <c r="J31" s="697">
        <v>0.7</v>
      </c>
      <c r="K31" s="699">
        <v>0.9</v>
      </c>
      <c r="L31" s="701" t="str">
        <f>IF(E31="","",IF(I31&lt;=J31,3,IF(I31&lt;=K31,2,1)))</f>
        <v/>
      </c>
      <c r="M31" s="169" t="s">
        <v>900</v>
      </c>
      <c r="N31" s="174"/>
      <c r="O31" s="620" t="s">
        <v>805</v>
      </c>
      <c r="P31" s="186"/>
      <c r="Q31" s="187"/>
      <c r="R31" s="188"/>
      <c r="S31" s="188"/>
      <c r="T31" s="188"/>
      <c r="U31" s="189"/>
      <c r="V31" s="44" t="str">
        <f t="shared" ref="V31:V38" si="16">IF($C$31="","","drucken")</f>
        <v/>
      </c>
    </row>
    <row r="32" spans="1:22" ht="15.6" x14ac:dyDescent="0.3">
      <c r="A32" s="94" t="str">
        <f t="shared" si="15"/>
        <v/>
      </c>
      <c r="B32" s="116">
        <v>4</v>
      </c>
      <c r="C32" s="683"/>
      <c r="D32" s="685"/>
      <c r="E32" s="704"/>
      <c r="F32" s="175"/>
      <c r="G32" s="688"/>
      <c r="H32" s="689"/>
      <c r="I32" s="690"/>
      <c r="J32" s="698"/>
      <c r="K32" s="700"/>
      <c r="L32" s="701"/>
      <c r="M32" s="169" t="s">
        <v>901</v>
      </c>
      <c r="N32" s="174"/>
      <c r="O32" s="620" t="s">
        <v>806</v>
      </c>
      <c r="P32" s="186"/>
      <c r="Q32" s="187"/>
      <c r="R32" s="188"/>
      <c r="S32" s="188"/>
      <c r="T32" s="188"/>
      <c r="U32" s="189"/>
      <c r="V32" s="44" t="str">
        <f t="shared" si="16"/>
        <v/>
      </c>
    </row>
    <row r="33" spans="1:22" ht="15.6" x14ac:dyDescent="0.3">
      <c r="A33" s="94" t="str">
        <f t="shared" si="15"/>
        <v/>
      </c>
      <c r="B33" s="116">
        <v>4</v>
      </c>
      <c r="C33" s="683"/>
      <c r="D33" s="684" t="s">
        <v>185</v>
      </c>
      <c r="E33" s="695"/>
      <c r="F33" s="173" t="str">
        <f>IF(E33&lt;&gt;"","?","")</f>
        <v/>
      </c>
      <c r="G33" s="689"/>
      <c r="H33" s="689"/>
      <c r="I33" s="690">
        <f>IF(OR(G33="Ja",G33="JA",G33="ja",G33="Oui",G33="OUI",G33="oui"),100%,
IF(OR(G33="Nein",G33="NEIN",G33="nein",G33="Oon",G33="NON",G33="non"),0%,
IF(G33&lt;&gt;0,
IF(H33&gt;=G33,G33/H33,
IF(H33&lt;G33,H33/G33)),
0%)))</f>
        <v>0</v>
      </c>
      <c r="J33" s="697">
        <v>0.7</v>
      </c>
      <c r="K33" s="699">
        <v>0.9</v>
      </c>
      <c r="L33" s="701" t="str">
        <f>IF(E33="","",IF(I33&lt;=J33,3,IF(I33&lt;=K33,2,1)))</f>
        <v/>
      </c>
      <c r="M33" s="169" t="s">
        <v>902</v>
      </c>
      <c r="N33" s="174"/>
      <c r="O33" s="620" t="s">
        <v>807</v>
      </c>
      <c r="P33" s="186"/>
      <c r="Q33" s="187"/>
      <c r="R33" s="188"/>
      <c r="S33" s="188"/>
      <c r="T33" s="188"/>
      <c r="U33" s="189"/>
      <c r="V33" s="44" t="str">
        <f t="shared" si="16"/>
        <v/>
      </c>
    </row>
    <row r="34" spans="1:22" ht="15.6" x14ac:dyDescent="0.3">
      <c r="A34" s="94" t="str">
        <f t="shared" si="15"/>
        <v/>
      </c>
      <c r="B34" s="116">
        <v>4</v>
      </c>
      <c r="C34" s="683"/>
      <c r="D34" s="685"/>
      <c r="E34" s="695"/>
      <c r="F34" s="175"/>
      <c r="G34" s="689"/>
      <c r="H34" s="689"/>
      <c r="I34" s="690"/>
      <c r="J34" s="698"/>
      <c r="K34" s="700"/>
      <c r="L34" s="701"/>
      <c r="M34" s="169" t="s">
        <v>903</v>
      </c>
      <c r="N34" s="174"/>
      <c r="O34" s="620" t="s">
        <v>808</v>
      </c>
      <c r="P34" s="186"/>
      <c r="Q34" s="187"/>
      <c r="R34" s="188"/>
      <c r="S34" s="188"/>
      <c r="T34" s="188"/>
      <c r="U34" s="189"/>
      <c r="V34" s="44" t="str">
        <f t="shared" si="16"/>
        <v/>
      </c>
    </row>
    <row r="35" spans="1:22" ht="15.6" x14ac:dyDescent="0.3">
      <c r="A35" s="94" t="str">
        <f t="shared" si="15"/>
        <v/>
      </c>
      <c r="B35" s="116">
        <v>4</v>
      </c>
      <c r="C35" s="683"/>
      <c r="D35" s="684" t="s">
        <v>186</v>
      </c>
      <c r="E35" s="694"/>
      <c r="F35" s="173" t="str">
        <f>IF(E35&lt;&gt;"","?","")</f>
        <v/>
      </c>
      <c r="G35" s="689"/>
      <c r="H35" s="689"/>
      <c r="I35" s="690">
        <f t="shared" ref="I35" si="17">IF(OR(G35="Ja",G35="JA",G35="ja",G35="Oui",G35="OUI",G35="oui"),100%,
IF(OR(G35="Nein",G35="NEIN",G35="nein",G35="Oon",G35="NON",G35="non"),0%,
IF(G35&lt;&gt;0,
IF(H35&gt;=G35,G35/H35,
IF(H35&lt;G35,H35/G35)),
0%)))</f>
        <v>0</v>
      </c>
      <c r="J35" s="697">
        <v>0.7</v>
      </c>
      <c r="K35" s="699">
        <v>0.9</v>
      </c>
      <c r="L35" s="701" t="str">
        <f>IF(E35="","",IF(I35&lt;=J35,3,IF(I35&lt;=K35,2,1)))</f>
        <v/>
      </c>
      <c r="M35" s="169" t="s">
        <v>904</v>
      </c>
      <c r="N35" s="174"/>
      <c r="O35" s="620" t="s">
        <v>809</v>
      </c>
      <c r="P35" s="186"/>
      <c r="Q35" s="187"/>
      <c r="R35" s="188"/>
      <c r="S35" s="188"/>
      <c r="T35" s="188"/>
      <c r="U35" s="189"/>
      <c r="V35" s="44" t="str">
        <f t="shared" si="16"/>
        <v/>
      </c>
    </row>
    <row r="36" spans="1:22" ht="15.6" x14ac:dyDescent="0.3">
      <c r="A36" s="94" t="str">
        <f t="shared" si="15"/>
        <v/>
      </c>
      <c r="B36" s="116">
        <v>4</v>
      </c>
      <c r="C36" s="683"/>
      <c r="D36" s="685"/>
      <c r="E36" s="695"/>
      <c r="F36" s="175"/>
      <c r="G36" s="689"/>
      <c r="H36" s="689"/>
      <c r="I36" s="690"/>
      <c r="J36" s="698"/>
      <c r="K36" s="700"/>
      <c r="L36" s="701"/>
      <c r="M36" s="169" t="s">
        <v>905</v>
      </c>
      <c r="N36" s="174"/>
      <c r="O36" s="620" t="s">
        <v>810</v>
      </c>
      <c r="P36" s="186"/>
      <c r="Q36" s="187"/>
      <c r="R36" s="188"/>
      <c r="S36" s="188"/>
      <c r="T36" s="188"/>
      <c r="U36" s="189"/>
      <c r="V36" s="44" t="str">
        <f t="shared" si="16"/>
        <v/>
      </c>
    </row>
    <row r="37" spans="1:22" ht="15.6" x14ac:dyDescent="0.3">
      <c r="A37" s="94" t="str">
        <f t="shared" si="15"/>
        <v/>
      </c>
      <c r="B37" s="116">
        <v>4</v>
      </c>
      <c r="C37" s="683"/>
      <c r="D37" s="684" t="s">
        <v>187</v>
      </c>
      <c r="E37" s="695"/>
      <c r="F37" s="173" t="str">
        <f>IF(E37&lt;&gt;"","?","")</f>
        <v/>
      </c>
      <c r="G37" s="689"/>
      <c r="H37" s="689"/>
      <c r="I37" s="690">
        <f t="shared" ref="I37" si="18">IF(OR(G37="Ja",G37="JA",G37="ja",G37="Oui",G37="OUI",G37="oui"),100%,
IF(OR(G37="Nein",G37="NEIN",G37="nein",G37="Oon",G37="NON",G37="non"),0%,
IF(G37&lt;&gt;0,
IF(H37&gt;=G37,G37/H37,
IF(H37&lt;G37,H37/G37)),
0%)))</f>
        <v>0</v>
      </c>
      <c r="J37" s="697">
        <v>0.7</v>
      </c>
      <c r="K37" s="699">
        <v>0.9</v>
      </c>
      <c r="L37" s="701" t="str">
        <f>IF(E37="","",IF(I37&lt;=J37,3,IF(I37&lt;=K37,2,1)))</f>
        <v/>
      </c>
      <c r="M37" s="169" t="s">
        <v>906</v>
      </c>
      <c r="N37" s="174"/>
      <c r="O37" s="620" t="s">
        <v>811</v>
      </c>
      <c r="P37" s="186"/>
      <c r="Q37" s="187"/>
      <c r="R37" s="188"/>
      <c r="S37" s="188"/>
      <c r="T37" s="188"/>
      <c r="U37" s="189"/>
      <c r="V37" s="44" t="str">
        <f t="shared" si="16"/>
        <v/>
      </c>
    </row>
    <row r="38" spans="1:22" ht="15.6" x14ac:dyDescent="0.3">
      <c r="A38" s="94" t="str">
        <f t="shared" si="15"/>
        <v/>
      </c>
      <c r="B38" s="116">
        <v>4</v>
      </c>
      <c r="C38" s="683"/>
      <c r="D38" s="685"/>
      <c r="E38" s="695"/>
      <c r="F38" s="176"/>
      <c r="G38" s="689"/>
      <c r="H38" s="689"/>
      <c r="I38" s="702"/>
      <c r="J38" s="698"/>
      <c r="K38" s="700"/>
      <c r="L38" s="701"/>
      <c r="M38" s="169" t="s">
        <v>907</v>
      </c>
      <c r="N38" s="174"/>
      <c r="O38" s="620" t="s">
        <v>812</v>
      </c>
      <c r="P38" s="186"/>
      <c r="Q38" s="187"/>
      <c r="R38" s="188"/>
      <c r="S38" s="188"/>
      <c r="T38" s="188"/>
      <c r="U38" s="189"/>
      <c r="V38" s="44" t="str">
        <f t="shared" si="16"/>
        <v/>
      </c>
    </row>
    <row r="39" spans="1:22" ht="15.6" x14ac:dyDescent="0.3">
      <c r="A39" s="94" t="str">
        <f t="shared" ref="A39:A46" si="19">IF($C$39="","","ok")</f>
        <v/>
      </c>
      <c r="B39" s="177">
        <v>5</v>
      </c>
      <c r="C39" s="691"/>
      <c r="D39" s="692" t="s">
        <v>188</v>
      </c>
      <c r="E39" s="677"/>
      <c r="F39" s="168" t="str">
        <f>IF(E39&lt;&gt;"","?","")</f>
        <v/>
      </c>
      <c r="G39" s="679"/>
      <c r="H39" s="670"/>
      <c r="I39" s="671">
        <f>IF(OR(G39="Ja",G39="JA",G39="ja",G39="Oui",G39="OUI",G39="oui"),100%,
IF(OR(G39="Nein",G39="NEIN",G39="nein",G39="Oon",G39="NON",G39="non"),0%,
IF(G39&lt;&gt;0,
IF(H39&gt;=G39,G39/H39,
IF(H39&lt;G39,H39/G39)),
0%)))</f>
        <v>0</v>
      </c>
      <c r="J39" s="672">
        <v>0.7</v>
      </c>
      <c r="K39" s="674">
        <v>0.9</v>
      </c>
      <c r="L39" s="681" t="str">
        <f>IF(E39="","",IF(I39&lt;=J39,3,IF(I39&lt;=K39,2,1)))</f>
        <v/>
      </c>
      <c r="M39" s="169" t="s">
        <v>908</v>
      </c>
      <c r="N39" s="170"/>
      <c r="O39" s="169" t="s">
        <v>813</v>
      </c>
      <c r="P39" s="182"/>
      <c r="Q39" s="183"/>
      <c r="R39" s="184"/>
      <c r="S39" s="184"/>
      <c r="T39" s="184"/>
      <c r="U39" s="185"/>
      <c r="V39" s="44" t="str">
        <f t="shared" ref="V39:V46" si="20">IF($C$39="","","drucken")</f>
        <v/>
      </c>
    </row>
    <row r="40" spans="1:22" ht="15.6" x14ac:dyDescent="0.3">
      <c r="A40" s="94" t="str">
        <f t="shared" si="19"/>
        <v/>
      </c>
      <c r="B40" s="116">
        <v>5</v>
      </c>
      <c r="C40" s="691"/>
      <c r="D40" s="693"/>
      <c r="E40" s="678"/>
      <c r="F40" s="171"/>
      <c r="G40" s="680"/>
      <c r="H40" s="670"/>
      <c r="I40" s="671"/>
      <c r="J40" s="673"/>
      <c r="K40" s="675"/>
      <c r="L40" s="681"/>
      <c r="M40" s="169" t="s">
        <v>909</v>
      </c>
      <c r="N40" s="170"/>
      <c r="O40" s="169" t="s">
        <v>814</v>
      </c>
      <c r="P40" s="182"/>
      <c r="Q40" s="183"/>
      <c r="R40" s="184"/>
      <c r="S40" s="184"/>
      <c r="T40" s="184"/>
      <c r="U40" s="185"/>
      <c r="V40" s="44" t="str">
        <f t="shared" si="20"/>
        <v/>
      </c>
    </row>
    <row r="41" spans="1:22" ht="15.6" x14ac:dyDescent="0.3">
      <c r="A41" s="94" t="str">
        <f t="shared" si="19"/>
        <v/>
      </c>
      <c r="B41" s="116">
        <v>5</v>
      </c>
      <c r="C41" s="691"/>
      <c r="D41" s="692" t="s">
        <v>189</v>
      </c>
      <c r="E41" s="686"/>
      <c r="F41" s="168" t="str">
        <f>IF(E41&lt;&gt;"","?","")</f>
        <v/>
      </c>
      <c r="G41" s="670"/>
      <c r="H41" s="670"/>
      <c r="I41" s="671">
        <f>IF(OR(G41="Ja",G41="JA",G41="ja",G41="Oui",G41="OUI",G41="oui"),100%,
IF(OR(G41="Nein",G41="NEIN",G41="nein",G41="Oon",G41="NON",G41="non"),0%,
IF(G41&lt;&gt;0,
IF(H41&gt;=G41,G41/H41,
IF(H41&lt;G41,H41/G41)),
0%)))</f>
        <v>0</v>
      </c>
      <c r="J41" s="672">
        <v>0.7</v>
      </c>
      <c r="K41" s="674">
        <v>0.9</v>
      </c>
      <c r="L41" s="681" t="str">
        <f>IF(E41="","",IF(I41&lt;=J41,3,IF(I41&lt;=K41,2,1)))</f>
        <v/>
      </c>
      <c r="M41" s="169" t="s">
        <v>910</v>
      </c>
      <c r="N41" s="170"/>
      <c r="O41" s="169" t="s">
        <v>815</v>
      </c>
      <c r="P41" s="182"/>
      <c r="Q41" s="183"/>
      <c r="R41" s="184"/>
      <c r="S41" s="184"/>
      <c r="T41" s="184"/>
      <c r="U41" s="185"/>
      <c r="V41" s="44" t="str">
        <f t="shared" si="20"/>
        <v/>
      </c>
    </row>
    <row r="42" spans="1:22" ht="15.6" x14ac:dyDescent="0.3">
      <c r="A42" s="94" t="str">
        <f t="shared" si="19"/>
        <v/>
      </c>
      <c r="B42" s="116">
        <v>5</v>
      </c>
      <c r="C42" s="691"/>
      <c r="D42" s="693"/>
      <c r="E42" s="686"/>
      <c r="F42" s="171"/>
      <c r="G42" s="670"/>
      <c r="H42" s="670"/>
      <c r="I42" s="671"/>
      <c r="J42" s="673"/>
      <c r="K42" s="675"/>
      <c r="L42" s="681"/>
      <c r="M42" s="169" t="s">
        <v>911</v>
      </c>
      <c r="N42" s="170"/>
      <c r="O42" s="169" t="s">
        <v>816</v>
      </c>
      <c r="P42" s="182"/>
      <c r="Q42" s="183"/>
      <c r="R42" s="184"/>
      <c r="S42" s="184"/>
      <c r="T42" s="184"/>
      <c r="U42" s="185"/>
      <c r="V42" s="44" t="str">
        <f t="shared" si="20"/>
        <v/>
      </c>
    </row>
    <row r="43" spans="1:22" ht="15.6" x14ac:dyDescent="0.3">
      <c r="A43" s="94" t="str">
        <f t="shared" si="19"/>
        <v/>
      </c>
      <c r="B43" s="116">
        <v>5</v>
      </c>
      <c r="C43" s="691"/>
      <c r="D43" s="692" t="s">
        <v>244</v>
      </c>
      <c r="E43" s="696"/>
      <c r="F43" s="168" t="str">
        <f>IF(E43&lt;&gt;"","?","")</f>
        <v/>
      </c>
      <c r="G43" s="670"/>
      <c r="H43" s="670"/>
      <c r="I43" s="671">
        <f t="shared" ref="I43" si="21">IF(OR(G43="Ja",G43="JA",G43="ja",G43="Oui",G43="OUI",G43="oui"),100%,
IF(OR(G43="Nein",G43="NEIN",G43="nein",G43="Oon",G43="NON",G43="non"),0%,
IF(G43&lt;&gt;0,
IF(H43&gt;=G43,G43/H43,
IF(H43&lt;G43,H43/G43)),
0%)))</f>
        <v>0</v>
      </c>
      <c r="J43" s="672">
        <v>0.7</v>
      </c>
      <c r="K43" s="674">
        <v>0.9</v>
      </c>
      <c r="L43" s="681" t="str">
        <f>IF(E43="","",IF(I43&lt;=J43,3,IF(I43&lt;=K43,2,1)))</f>
        <v/>
      </c>
      <c r="M43" s="169" t="s">
        <v>912</v>
      </c>
      <c r="N43" s="170"/>
      <c r="O43" s="169" t="s">
        <v>817</v>
      </c>
      <c r="P43" s="182"/>
      <c r="Q43" s="183"/>
      <c r="R43" s="184"/>
      <c r="S43" s="184"/>
      <c r="T43" s="184"/>
      <c r="U43" s="185"/>
      <c r="V43" s="44" t="str">
        <f t="shared" si="20"/>
        <v/>
      </c>
    </row>
    <row r="44" spans="1:22" ht="15.6" x14ac:dyDescent="0.3">
      <c r="A44" s="94" t="str">
        <f t="shared" si="19"/>
        <v/>
      </c>
      <c r="B44" s="116">
        <v>5</v>
      </c>
      <c r="C44" s="691"/>
      <c r="D44" s="693"/>
      <c r="E44" s="686"/>
      <c r="F44" s="171"/>
      <c r="G44" s="670"/>
      <c r="H44" s="670"/>
      <c r="I44" s="671"/>
      <c r="J44" s="673"/>
      <c r="K44" s="675"/>
      <c r="L44" s="681"/>
      <c r="M44" s="169" t="s">
        <v>913</v>
      </c>
      <c r="N44" s="170"/>
      <c r="O44" s="169" t="s">
        <v>818</v>
      </c>
      <c r="P44" s="182"/>
      <c r="Q44" s="183"/>
      <c r="R44" s="184"/>
      <c r="S44" s="184"/>
      <c r="T44" s="184"/>
      <c r="U44" s="185"/>
      <c r="V44" s="44" t="str">
        <f t="shared" si="20"/>
        <v/>
      </c>
    </row>
    <row r="45" spans="1:22" ht="15.6" x14ac:dyDescent="0.3">
      <c r="A45" s="94" t="str">
        <f t="shared" si="19"/>
        <v/>
      </c>
      <c r="B45" s="116">
        <v>5</v>
      </c>
      <c r="C45" s="691"/>
      <c r="D45" s="692" t="s">
        <v>245</v>
      </c>
      <c r="E45" s="686"/>
      <c r="F45" s="168" t="str">
        <f>IF(E45&lt;&gt;"","?","")</f>
        <v/>
      </c>
      <c r="G45" s="670"/>
      <c r="H45" s="670"/>
      <c r="I45" s="671">
        <f t="shared" ref="I45" si="22">IF(OR(G45="Ja",G45="JA",G45="ja",G45="Oui",G45="OUI",G45="oui"),100%,
IF(OR(G45="Nein",G45="NEIN",G45="nein",G45="Oon",G45="NON",G45="non"),0%,
IF(G45&lt;&gt;0,
IF(H45&gt;=G45,G45/H45,
IF(H45&lt;G45,H45/G45)),
0%)))</f>
        <v>0</v>
      </c>
      <c r="J45" s="672">
        <v>0.7</v>
      </c>
      <c r="K45" s="674">
        <v>0.9</v>
      </c>
      <c r="L45" s="681" t="str">
        <f>IF(E45="","",IF(I45&lt;=J45,3,IF(I45&lt;=K45,2,1)))</f>
        <v/>
      </c>
      <c r="M45" s="169" t="s">
        <v>914</v>
      </c>
      <c r="N45" s="170"/>
      <c r="O45" s="169" t="s">
        <v>819</v>
      </c>
      <c r="P45" s="182"/>
      <c r="Q45" s="183"/>
      <c r="R45" s="184"/>
      <c r="S45" s="184"/>
      <c r="T45" s="184"/>
      <c r="U45" s="185"/>
      <c r="V45" s="44" t="str">
        <f t="shared" si="20"/>
        <v/>
      </c>
    </row>
    <row r="46" spans="1:22" ht="15.6" x14ac:dyDescent="0.3">
      <c r="A46" s="94" t="str">
        <f t="shared" si="19"/>
        <v/>
      </c>
      <c r="B46" s="116">
        <v>5</v>
      </c>
      <c r="C46" s="691"/>
      <c r="D46" s="693"/>
      <c r="E46" s="686"/>
      <c r="F46" s="172"/>
      <c r="G46" s="670"/>
      <c r="H46" s="670"/>
      <c r="I46" s="682"/>
      <c r="J46" s="673"/>
      <c r="K46" s="675"/>
      <c r="L46" s="681"/>
      <c r="M46" s="169" t="s">
        <v>915</v>
      </c>
      <c r="N46" s="170"/>
      <c r="O46" s="169" t="s">
        <v>820</v>
      </c>
      <c r="P46" s="182"/>
      <c r="Q46" s="183"/>
      <c r="R46" s="184"/>
      <c r="S46" s="184"/>
      <c r="T46" s="184"/>
      <c r="U46" s="185"/>
      <c r="V46" s="44" t="str">
        <f t="shared" si="20"/>
        <v/>
      </c>
    </row>
    <row r="47" spans="1:22" ht="15.6" x14ac:dyDescent="0.3">
      <c r="A47" s="94" t="str">
        <f t="shared" ref="A47:A54" si="23">IF($C$47="","","ok")</f>
        <v/>
      </c>
      <c r="B47" s="177">
        <v>6</v>
      </c>
      <c r="C47" s="683"/>
      <c r="D47" s="684" t="s">
        <v>315</v>
      </c>
      <c r="E47" s="703"/>
      <c r="F47" s="173" t="str">
        <f>IF(E47&lt;&gt;"","?","")</f>
        <v/>
      </c>
      <c r="G47" s="687"/>
      <c r="H47" s="689"/>
      <c r="I47" s="690">
        <f>IF(OR(G47="Ja",G47="JA",G47="ja",G47="Oui",G47="OUI",G47="oui"),100%,
IF(OR(G47="Nein",G47="NEIN",G47="nein",G47="Oon",G47="NON",G47="non"),0%,
IF(G47&lt;&gt;0,
IF(H47&gt;=G47,G47/H47,
IF(H47&lt;G47,H47/G47)),
0%)))</f>
        <v>0</v>
      </c>
      <c r="J47" s="697">
        <v>0.7</v>
      </c>
      <c r="K47" s="699">
        <v>0.9</v>
      </c>
      <c r="L47" s="701" t="str">
        <f>IF(E47="","",IF(I47&lt;=J47,3,IF(I47&lt;=K47,2,1)))</f>
        <v/>
      </c>
      <c r="M47" s="169" t="s">
        <v>916</v>
      </c>
      <c r="N47" s="174"/>
      <c r="O47" s="620" t="s">
        <v>821</v>
      </c>
      <c r="P47" s="186"/>
      <c r="Q47" s="187"/>
      <c r="R47" s="188"/>
      <c r="S47" s="188"/>
      <c r="T47" s="188"/>
      <c r="U47" s="189"/>
      <c r="V47" s="44" t="str">
        <f t="shared" ref="V47:V54" si="24">IF($C$47="","","drucken")</f>
        <v/>
      </c>
    </row>
    <row r="48" spans="1:22" ht="15.6" x14ac:dyDescent="0.3">
      <c r="A48" s="94" t="str">
        <f t="shared" si="23"/>
        <v/>
      </c>
      <c r="B48" s="116">
        <v>6</v>
      </c>
      <c r="C48" s="683"/>
      <c r="D48" s="685"/>
      <c r="E48" s="704"/>
      <c r="F48" s="175"/>
      <c r="G48" s="688"/>
      <c r="H48" s="689"/>
      <c r="I48" s="690"/>
      <c r="J48" s="698"/>
      <c r="K48" s="700"/>
      <c r="L48" s="701"/>
      <c r="M48" s="169" t="s">
        <v>917</v>
      </c>
      <c r="N48" s="174"/>
      <c r="O48" s="620" t="s">
        <v>822</v>
      </c>
      <c r="P48" s="186"/>
      <c r="Q48" s="187"/>
      <c r="R48" s="188"/>
      <c r="S48" s="188"/>
      <c r="T48" s="188"/>
      <c r="U48" s="189"/>
      <c r="V48" s="44" t="str">
        <f t="shared" si="24"/>
        <v/>
      </c>
    </row>
    <row r="49" spans="1:22" ht="15.6" x14ac:dyDescent="0.3">
      <c r="A49" s="94" t="str">
        <f t="shared" si="23"/>
        <v/>
      </c>
      <c r="B49" s="116">
        <v>6</v>
      </c>
      <c r="C49" s="683"/>
      <c r="D49" s="684" t="s">
        <v>318</v>
      </c>
      <c r="E49" s="695"/>
      <c r="F49" s="173" t="str">
        <f>IF(E49&lt;&gt;"","?","")</f>
        <v/>
      </c>
      <c r="G49" s="689"/>
      <c r="H49" s="689"/>
      <c r="I49" s="690">
        <f>IF(OR(G49="Ja",G49="JA",G49="ja",G49="Oui",G49="OUI",G49="oui"),100%,
IF(OR(G49="Nein",G49="NEIN",G49="nein",G49="Oon",G49="NON",G49="non"),0%,
IF(G49&lt;&gt;0,
IF(H49&gt;=G49,G49/H49,
IF(H49&lt;G49,H49/G49)),
0%)))</f>
        <v>0</v>
      </c>
      <c r="J49" s="697">
        <v>0.7</v>
      </c>
      <c r="K49" s="699">
        <v>0.9</v>
      </c>
      <c r="L49" s="701" t="str">
        <f>IF(E49="","",IF(I49&lt;=J49,3,IF(I49&lt;=K49,2,1)))</f>
        <v/>
      </c>
      <c r="M49" s="169" t="s">
        <v>918</v>
      </c>
      <c r="N49" s="174"/>
      <c r="O49" s="620" t="s">
        <v>823</v>
      </c>
      <c r="P49" s="186"/>
      <c r="Q49" s="187"/>
      <c r="R49" s="188"/>
      <c r="S49" s="188"/>
      <c r="T49" s="188"/>
      <c r="U49" s="189"/>
      <c r="V49" s="44" t="str">
        <f t="shared" si="24"/>
        <v/>
      </c>
    </row>
    <row r="50" spans="1:22" ht="15.6" x14ac:dyDescent="0.3">
      <c r="A50" s="94" t="str">
        <f t="shared" si="23"/>
        <v/>
      </c>
      <c r="B50" s="116">
        <v>6</v>
      </c>
      <c r="C50" s="683"/>
      <c r="D50" s="685"/>
      <c r="E50" s="695"/>
      <c r="F50" s="175"/>
      <c r="G50" s="689"/>
      <c r="H50" s="689"/>
      <c r="I50" s="690"/>
      <c r="J50" s="698"/>
      <c r="K50" s="700"/>
      <c r="L50" s="701"/>
      <c r="M50" s="169" t="s">
        <v>919</v>
      </c>
      <c r="N50" s="174"/>
      <c r="O50" s="620" t="s">
        <v>824</v>
      </c>
      <c r="P50" s="186"/>
      <c r="Q50" s="187"/>
      <c r="R50" s="188"/>
      <c r="S50" s="188"/>
      <c r="T50" s="188"/>
      <c r="U50" s="189"/>
      <c r="V50" s="44" t="str">
        <f t="shared" si="24"/>
        <v/>
      </c>
    </row>
    <row r="51" spans="1:22" ht="15.6" x14ac:dyDescent="0.3">
      <c r="A51" s="94" t="str">
        <f t="shared" si="23"/>
        <v/>
      </c>
      <c r="B51" s="116">
        <v>6</v>
      </c>
      <c r="C51" s="683"/>
      <c r="D51" s="684" t="s">
        <v>321</v>
      </c>
      <c r="E51" s="694"/>
      <c r="F51" s="173" t="str">
        <f>IF(E51&lt;&gt;"","?","")</f>
        <v/>
      </c>
      <c r="G51" s="689"/>
      <c r="H51" s="689"/>
      <c r="I51" s="690">
        <f t="shared" ref="I51" si="25">IF(OR(G51="Ja",G51="JA",G51="ja",G51="Oui",G51="OUI",G51="oui"),100%,
IF(OR(G51="Nein",G51="NEIN",G51="nein",G51="Oon",G51="NON",G51="non"),0%,
IF(G51&lt;&gt;0,
IF(H51&gt;=G51,G51/H51,
IF(H51&lt;G51,H51/G51)),
0%)))</f>
        <v>0</v>
      </c>
      <c r="J51" s="697">
        <v>0.7</v>
      </c>
      <c r="K51" s="699">
        <v>0.9</v>
      </c>
      <c r="L51" s="701" t="str">
        <f>IF(E51="","",IF(I51&lt;=J51,3,IF(I51&lt;=K51,2,1)))</f>
        <v/>
      </c>
      <c r="M51" s="169" t="s">
        <v>920</v>
      </c>
      <c r="N51" s="174"/>
      <c r="O51" s="620" t="s">
        <v>825</v>
      </c>
      <c r="P51" s="186"/>
      <c r="Q51" s="187"/>
      <c r="R51" s="188"/>
      <c r="S51" s="188"/>
      <c r="T51" s="188"/>
      <c r="U51" s="189"/>
      <c r="V51" s="44" t="str">
        <f t="shared" si="24"/>
        <v/>
      </c>
    </row>
    <row r="52" spans="1:22" ht="15.6" x14ac:dyDescent="0.3">
      <c r="A52" s="94" t="str">
        <f t="shared" si="23"/>
        <v/>
      </c>
      <c r="B52" s="116">
        <v>6</v>
      </c>
      <c r="C52" s="683"/>
      <c r="D52" s="685"/>
      <c r="E52" s="695"/>
      <c r="F52" s="175"/>
      <c r="G52" s="689"/>
      <c r="H52" s="689"/>
      <c r="I52" s="690"/>
      <c r="J52" s="698"/>
      <c r="K52" s="700"/>
      <c r="L52" s="701"/>
      <c r="M52" s="169" t="s">
        <v>921</v>
      </c>
      <c r="N52" s="174"/>
      <c r="O52" s="620" t="s">
        <v>826</v>
      </c>
      <c r="P52" s="186"/>
      <c r="Q52" s="187"/>
      <c r="R52" s="188"/>
      <c r="S52" s="188"/>
      <c r="T52" s="188"/>
      <c r="U52" s="189"/>
      <c r="V52" s="44" t="str">
        <f t="shared" si="24"/>
        <v/>
      </c>
    </row>
    <row r="53" spans="1:22" ht="15.6" x14ac:dyDescent="0.3">
      <c r="A53" s="94" t="str">
        <f t="shared" si="23"/>
        <v/>
      </c>
      <c r="B53" s="116">
        <v>6</v>
      </c>
      <c r="C53" s="683"/>
      <c r="D53" s="684" t="s">
        <v>324</v>
      </c>
      <c r="E53" s="695"/>
      <c r="F53" s="173" t="str">
        <f>IF(E53&lt;&gt;"","?","")</f>
        <v/>
      </c>
      <c r="G53" s="689"/>
      <c r="H53" s="689"/>
      <c r="I53" s="690">
        <f t="shared" ref="I53" si="26">IF(OR(G53="Ja",G53="JA",G53="ja",G53="Oui",G53="OUI",G53="oui"),100%,
IF(OR(G53="Nein",G53="NEIN",G53="nein",G53="Oon",G53="NON",G53="non"),0%,
IF(G53&lt;&gt;0,
IF(H53&gt;=G53,G53/H53,
IF(H53&lt;G53,H53/G53)),
0%)))</f>
        <v>0</v>
      </c>
      <c r="J53" s="697">
        <v>0.7</v>
      </c>
      <c r="K53" s="699">
        <v>0.9</v>
      </c>
      <c r="L53" s="701" t="str">
        <f>IF(E53="","",IF(I53&lt;=J53,3,IF(I53&lt;=K53,2,1)))</f>
        <v/>
      </c>
      <c r="M53" s="169" t="s">
        <v>922</v>
      </c>
      <c r="N53" s="174"/>
      <c r="O53" s="620" t="s">
        <v>827</v>
      </c>
      <c r="P53" s="186"/>
      <c r="Q53" s="187"/>
      <c r="R53" s="188"/>
      <c r="S53" s="188"/>
      <c r="T53" s="188"/>
      <c r="U53" s="189"/>
      <c r="V53" s="44" t="str">
        <f t="shared" si="24"/>
        <v/>
      </c>
    </row>
    <row r="54" spans="1:22" ht="15.6" x14ac:dyDescent="0.3">
      <c r="A54" s="94" t="str">
        <f t="shared" si="23"/>
        <v/>
      </c>
      <c r="B54" s="116">
        <v>6</v>
      </c>
      <c r="C54" s="683"/>
      <c r="D54" s="685"/>
      <c r="E54" s="695"/>
      <c r="F54" s="176"/>
      <c r="G54" s="689"/>
      <c r="H54" s="689"/>
      <c r="I54" s="702"/>
      <c r="J54" s="698"/>
      <c r="K54" s="700"/>
      <c r="L54" s="701"/>
      <c r="M54" s="169" t="s">
        <v>923</v>
      </c>
      <c r="N54" s="174"/>
      <c r="O54" s="620" t="s">
        <v>828</v>
      </c>
      <c r="P54" s="186"/>
      <c r="Q54" s="187"/>
      <c r="R54" s="188"/>
      <c r="S54" s="188"/>
      <c r="T54" s="188"/>
      <c r="U54" s="189"/>
      <c r="V54" s="44" t="str">
        <f t="shared" si="24"/>
        <v/>
      </c>
    </row>
    <row r="55" spans="1:22" ht="15.6" x14ac:dyDescent="0.3">
      <c r="A55" s="94" t="str">
        <f t="shared" ref="A55:A62" si="27">IF($C$55="","","ok")</f>
        <v/>
      </c>
      <c r="B55" s="177">
        <v>7</v>
      </c>
      <c r="C55" s="691"/>
      <c r="D55" s="692" t="s">
        <v>327</v>
      </c>
      <c r="E55" s="677"/>
      <c r="F55" s="168" t="str">
        <f>IF(E55&lt;&gt;"","?","")</f>
        <v/>
      </c>
      <c r="G55" s="679"/>
      <c r="H55" s="670"/>
      <c r="I55" s="671">
        <f>IF(OR(G55="Ja",G55="JA",G55="ja",G55="Oui",G55="OUI",G55="oui"),100%,
IF(OR(G55="Nein",G55="NEIN",G55="nein",G55="Oon",G55="NON",G55="non"),0%,
IF(G55&lt;&gt;0,
IF(H55&gt;=G55,G55/H55,
IF(H55&lt;G55,H55/G55)),
0%)))</f>
        <v>0</v>
      </c>
      <c r="J55" s="672">
        <v>0.7</v>
      </c>
      <c r="K55" s="674">
        <v>0.9</v>
      </c>
      <c r="L55" s="681" t="str">
        <f>IF(E55="","",IF(I55&lt;=J55,3,IF(I55&lt;=K55,2,1)))</f>
        <v/>
      </c>
      <c r="M55" s="169" t="s">
        <v>924</v>
      </c>
      <c r="N55" s="170"/>
      <c r="O55" s="169" t="s">
        <v>829</v>
      </c>
      <c r="P55" s="182"/>
      <c r="Q55" s="183"/>
      <c r="R55" s="190"/>
      <c r="S55" s="190"/>
      <c r="T55" s="184"/>
      <c r="U55" s="191"/>
      <c r="V55" s="44" t="str">
        <f t="shared" ref="V55:V62" si="28">IF($C$55="","","drucken")</f>
        <v/>
      </c>
    </row>
    <row r="56" spans="1:22" ht="15.6" x14ac:dyDescent="0.3">
      <c r="A56" s="94" t="str">
        <f t="shared" si="27"/>
        <v/>
      </c>
      <c r="B56" s="116">
        <v>7</v>
      </c>
      <c r="C56" s="691"/>
      <c r="D56" s="693"/>
      <c r="E56" s="678"/>
      <c r="F56" s="171"/>
      <c r="G56" s="680"/>
      <c r="H56" s="670"/>
      <c r="I56" s="671"/>
      <c r="J56" s="673"/>
      <c r="K56" s="675"/>
      <c r="L56" s="681"/>
      <c r="M56" s="169" t="s">
        <v>925</v>
      </c>
      <c r="N56" s="170"/>
      <c r="O56" s="169" t="s">
        <v>830</v>
      </c>
      <c r="P56" s="182"/>
      <c r="Q56" s="183"/>
      <c r="R56" s="190"/>
      <c r="S56" s="190"/>
      <c r="T56" s="184"/>
      <c r="U56" s="191"/>
      <c r="V56" s="44" t="str">
        <f t="shared" si="28"/>
        <v/>
      </c>
    </row>
    <row r="57" spans="1:22" ht="15.6" x14ac:dyDescent="0.3">
      <c r="A57" s="94" t="str">
        <f t="shared" si="27"/>
        <v/>
      </c>
      <c r="B57" s="116">
        <v>7</v>
      </c>
      <c r="C57" s="691"/>
      <c r="D57" s="692" t="s">
        <v>330</v>
      </c>
      <c r="E57" s="686"/>
      <c r="F57" s="168" t="str">
        <f>IF(E57&lt;&gt;"","?","")</f>
        <v/>
      </c>
      <c r="G57" s="670"/>
      <c r="H57" s="670"/>
      <c r="I57" s="671">
        <f>IF(OR(G57="Ja",G57="JA",G57="ja",G57="Oui",G57="OUI",G57="oui"),100%,
IF(OR(G57="Nein",G57="NEIN",G57="nein",G57="Oon",G57="NON",G57="non"),0%,
IF(G57&lt;&gt;0,
IF(H57&gt;=G57,G57/H57,
IF(H57&lt;G57,H57/G57)),
0%)))</f>
        <v>0</v>
      </c>
      <c r="J57" s="672">
        <v>0.7</v>
      </c>
      <c r="K57" s="674">
        <v>0.9</v>
      </c>
      <c r="L57" s="681" t="str">
        <f>IF(E57="","",IF(I57&lt;=J57,3,IF(I57&lt;=K57,2,1)))</f>
        <v/>
      </c>
      <c r="M57" s="169" t="s">
        <v>926</v>
      </c>
      <c r="N57" s="170"/>
      <c r="O57" s="169" t="s">
        <v>831</v>
      </c>
      <c r="P57" s="182"/>
      <c r="Q57" s="183"/>
      <c r="R57" s="190"/>
      <c r="S57" s="190"/>
      <c r="T57" s="184"/>
      <c r="U57" s="191"/>
      <c r="V57" s="44" t="str">
        <f t="shared" si="28"/>
        <v/>
      </c>
    </row>
    <row r="58" spans="1:22" ht="15.6" x14ac:dyDescent="0.3">
      <c r="A58" s="94" t="str">
        <f t="shared" si="27"/>
        <v/>
      </c>
      <c r="B58" s="116">
        <v>7</v>
      </c>
      <c r="C58" s="691"/>
      <c r="D58" s="693"/>
      <c r="E58" s="686"/>
      <c r="F58" s="171"/>
      <c r="G58" s="670"/>
      <c r="H58" s="670"/>
      <c r="I58" s="671"/>
      <c r="J58" s="673"/>
      <c r="K58" s="675"/>
      <c r="L58" s="681"/>
      <c r="M58" s="169" t="s">
        <v>927</v>
      </c>
      <c r="N58" s="170"/>
      <c r="O58" s="169" t="s">
        <v>832</v>
      </c>
      <c r="P58" s="182"/>
      <c r="Q58" s="183"/>
      <c r="R58" s="190"/>
      <c r="S58" s="190"/>
      <c r="T58" s="184"/>
      <c r="U58" s="191"/>
      <c r="V58" s="44" t="str">
        <f t="shared" si="28"/>
        <v/>
      </c>
    </row>
    <row r="59" spans="1:22" ht="15.6" x14ac:dyDescent="0.3">
      <c r="A59" s="94" t="str">
        <f t="shared" si="27"/>
        <v/>
      </c>
      <c r="B59" s="116">
        <v>7</v>
      </c>
      <c r="C59" s="691"/>
      <c r="D59" s="692" t="s">
        <v>333</v>
      </c>
      <c r="E59" s="696"/>
      <c r="F59" s="168" t="str">
        <f>IF(E59&lt;&gt;"","?","")</f>
        <v/>
      </c>
      <c r="G59" s="670"/>
      <c r="H59" s="670"/>
      <c r="I59" s="671">
        <f t="shared" ref="I59" si="29">IF(OR(G59="Ja",G59="JA",G59="ja",G59="Oui",G59="OUI",G59="oui"),100%,
IF(OR(G59="Nein",G59="NEIN",G59="nein",G59="Oon",G59="NON",G59="non"),0%,
IF(G59&lt;&gt;0,
IF(H59&gt;=G59,G59/H59,
IF(H59&lt;G59,H59/G59)),
0%)))</f>
        <v>0</v>
      </c>
      <c r="J59" s="672">
        <v>0.7</v>
      </c>
      <c r="K59" s="674">
        <v>0.9</v>
      </c>
      <c r="L59" s="681" t="str">
        <f>IF(E59="","",IF(I59&lt;=J59,3,IF(I59&lt;=K59,2,1)))</f>
        <v/>
      </c>
      <c r="M59" s="169" t="s">
        <v>928</v>
      </c>
      <c r="N59" s="170"/>
      <c r="O59" s="169" t="s">
        <v>833</v>
      </c>
      <c r="P59" s="182"/>
      <c r="Q59" s="183"/>
      <c r="R59" s="190"/>
      <c r="S59" s="190"/>
      <c r="T59" s="184"/>
      <c r="U59" s="191"/>
      <c r="V59" s="44" t="str">
        <f t="shared" si="28"/>
        <v/>
      </c>
    </row>
    <row r="60" spans="1:22" ht="15.6" x14ac:dyDescent="0.3">
      <c r="A60" s="94" t="str">
        <f t="shared" si="27"/>
        <v/>
      </c>
      <c r="B60" s="116">
        <v>7</v>
      </c>
      <c r="C60" s="691"/>
      <c r="D60" s="693"/>
      <c r="E60" s="686"/>
      <c r="F60" s="171"/>
      <c r="G60" s="670"/>
      <c r="H60" s="670"/>
      <c r="I60" s="671"/>
      <c r="J60" s="673"/>
      <c r="K60" s="675"/>
      <c r="L60" s="681"/>
      <c r="M60" s="169" t="s">
        <v>929</v>
      </c>
      <c r="N60" s="170"/>
      <c r="O60" s="169" t="s">
        <v>834</v>
      </c>
      <c r="P60" s="182"/>
      <c r="Q60" s="183"/>
      <c r="R60" s="190"/>
      <c r="S60" s="190"/>
      <c r="T60" s="184"/>
      <c r="U60" s="191"/>
      <c r="V60" s="44" t="str">
        <f t="shared" si="28"/>
        <v/>
      </c>
    </row>
    <row r="61" spans="1:22" ht="15.6" x14ac:dyDescent="0.3">
      <c r="A61" s="94" t="str">
        <f t="shared" si="27"/>
        <v/>
      </c>
      <c r="B61" s="116">
        <v>7</v>
      </c>
      <c r="C61" s="691"/>
      <c r="D61" s="692" t="s">
        <v>336</v>
      </c>
      <c r="E61" s="686"/>
      <c r="F61" s="168" t="str">
        <f>IF(E61&lt;&gt;"","?","")</f>
        <v/>
      </c>
      <c r="G61" s="670"/>
      <c r="H61" s="670"/>
      <c r="I61" s="671">
        <f t="shared" ref="I61" si="30">IF(OR(G61="Ja",G61="JA",G61="ja",G61="Oui",G61="OUI",G61="oui"),100%,
IF(OR(G61="Nein",G61="NEIN",G61="nein",G61="Oon",G61="NON",G61="non"),0%,
IF(G61&lt;&gt;0,
IF(H61&gt;=G61,G61/H61,
IF(H61&lt;G61,H61/G61)),
0%)))</f>
        <v>0</v>
      </c>
      <c r="J61" s="672">
        <v>0.7</v>
      </c>
      <c r="K61" s="674">
        <v>0.9</v>
      </c>
      <c r="L61" s="681" t="str">
        <f>IF(E61="","",IF(I61&lt;=J61,3,IF(I61&lt;=K61,2,1)))</f>
        <v/>
      </c>
      <c r="M61" s="169" t="s">
        <v>930</v>
      </c>
      <c r="N61" s="170"/>
      <c r="O61" s="169" t="s">
        <v>835</v>
      </c>
      <c r="P61" s="182"/>
      <c r="Q61" s="183"/>
      <c r="R61" s="190"/>
      <c r="S61" s="190"/>
      <c r="T61" s="184"/>
      <c r="U61" s="191"/>
      <c r="V61" s="44" t="str">
        <f t="shared" si="28"/>
        <v/>
      </c>
    </row>
    <row r="62" spans="1:22" ht="15.6" x14ac:dyDescent="0.3">
      <c r="A62" s="94" t="str">
        <f t="shared" si="27"/>
        <v/>
      </c>
      <c r="B62" s="116">
        <v>7</v>
      </c>
      <c r="C62" s="691"/>
      <c r="D62" s="693"/>
      <c r="E62" s="686"/>
      <c r="F62" s="172"/>
      <c r="G62" s="670"/>
      <c r="H62" s="670"/>
      <c r="I62" s="682"/>
      <c r="J62" s="673"/>
      <c r="K62" s="675"/>
      <c r="L62" s="681"/>
      <c r="M62" s="169" t="s">
        <v>931</v>
      </c>
      <c r="N62" s="170"/>
      <c r="O62" s="169" t="s">
        <v>836</v>
      </c>
      <c r="P62" s="182"/>
      <c r="Q62" s="183"/>
      <c r="R62" s="190"/>
      <c r="S62" s="190"/>
      <c r="T62" s="184"/>
      <c r="U62" s="191"/>
      <c r="V62" s="44" t="str">
        <f t="shared" si="28"/>
        <v/>
      </c>
    </row>
    <row r="63" spans="1:22" ht="15.6" x14ac:dyDescent="0.3">
      <c r="A63" s="94" t="str">
        <f t="shared" ref="A63:A70" si="31">IF($C$63="","","ok")</f>
        <v/>
      </c>
      <c r="B63" s="177">
        <v>8</v>
      </c>
      <c r="C63" s="683"/>
      <c r="D63" s="684" t="s">
        <v>339</v>
      </c>
      <c r="E63" s="703"/>
      <c r="F63" s="173" t="str">
        <f>IF(E63&lt;&gt;"","?","")</f>
        <v/>
      </c>
      <c r="G63" s="687"/>
      <c r="H63" s="689"/>
      <c r="I63" s="690">
        <f>IF(OR(G63="Ja",G63="JA",G63="ja",G63="Oui",G63="OUI",G63="oui"),100%,
IF(OR(G63="Nein",G63="NEIN",G63="nein",G63="Oon",G63="NON",G63="non"),0%,
IF(G63&lt;&gt;0,
IF(H63&gt;=G63,G63/H63,
IF(H63&lt;G63,H63/G63)),
0%)))</f>
        <v>0</v>
      </c>
      <c r="J63" s="697">
        <v>0.7</v>
      </c>
      <c r="K63" s="699">
        <v>0.9</v>
      </c>
      <c r="L63" s="701" t="str">
        <f>IF(E63="","",IF(I63&lt;=J63,3,IF(I63&lt;=K63,2,1)))</f>
        <v/>
      </c>
      <c r="M63" s="169" t="s">
        <v>932</v>
      </c>
      <c r="N63" s="174"/>
      <c r="O63" s="620" t="s">
        <v>837</v>
      </c>
      <c r="P63" s="186"/>
      <c r="Q63" s="187"/>
      <c r="R63" s="192"/>
      <c r="S63" s="192"/>
      <c r="T63" s="188"/>
      <c r="U63" s="193"/>
      <c r="V63" s="44" t="str">
        <f t="shared" ref="V63:V70" si="32">IF($C$63="","","drucken")</f>
        <v/>
      </c>
    </row>
    <row r="64" spans="1:22" ht="15.6" x14ac:dyDescent="0.3">
      <c r="A64" s="94" t="str">
        <f t="shared" si="31"/>
        <v/>
      </c>
      <c r="B64" s="116">
        <v>8</v>
      </c>
      <c r="C64" s="683"/>
      <c r="D64" s="685"/>
      <c r="E64" s="704"/>
      <c r="F64" s="175"/>
      <c r="G64" s="688"/>
      <c r="H64" s="689"/>
      <c r="I64" s="690"/>
      <c r="J64" s="698"/>
      <c r="K64" s="700"/>
      <c r="L64" s="701"/>
      <c r="M64" s="169" t="s">
        <v>933</v>
      </c>
      <c r="N64" s="174"/>
      <c r="O64" s="620" t="s">
        <v>838</v>
      </c>
      <c r="P64" s="186"/>
      <c r="Q64" s="187"/>
      <c r="R64" s="192"/>
      <c r="S64" s="192"/>
      <c r="T64" s="188"/>
      <c r="U64" s="193"/>
      <c r="V64" s="44" t="str">
        <f t="shared" si="32"/>
        <v/>
      </c>
    </row>
    <row r="65" spans="1:22" ht="15.6" x14ac:dyDescent="0.3">
      <c r="A65" s="94" t="str">
        <f t="shared" si="31"/>
        <v/>
      </c>
      <c r="B65" s="116">
        <v>8</v>
      </c>
      <c r="C65" s="683"/>
      <c r="D65" s="684" t="s">
        <v>342</v>
      </c>
      <c r="E65" s="695"/>
      <c r="F65" s="173" t="str">
        <f>IF(E65&lt;&gt;"","?","")</f>
        <v/>
      </c>
      <c r="G65" s="689"/>
      <c r="H65" s="689"/>
      <c r="I65" s="690">
        <f>IF(OR(G65="Ja",G65="JA",G65="ja",G65="Oui",G65="OUI",G65="oui"),100%,
IF(OR(G65="Nein",G65="NEIN",G65="nein",G65="Oon",G65="NON",G65="non"),0%,
IF(G65&lt;&gt;0,
IF(H65&gt;=G65,G65/H65,
IF(H65&lt;G65,H65/G65)),
0%)))</f>
        <v>0</v>
      </c>
      <c r="J65" s="697">
        <v>0.7</v>
      </c>
      <c r="K65" s="699">
        <v>0.9</v>
      </c>
      <c r="L65" s="701" t="str">
        <f>IF(E65="","",IF(I65&lt;=J65,3,IF(I65&lt;=K65,2,1)))</f>
        <v/>
      </c>
      <c r="M65" s="169" t="s">
        <v>934</v>
      </c>
      <c r="N65" s="174"/>
      <c r="O65" s="620" t="s">
        <v>839</v>
      </c>
      <c r="P65" s="186"/>
      <c r="Q65" s="187"/>
      <c r="R65" s="192"/>
      <c r="S65" s="192"/>
      <c r="T65" s="188"/>
      <c r="U65" s="193"/>
      <c r="V65" s="44" t="str">
        <f t="shared" si="32"/>
        <v/>
      </c>
    </row>
    <row r="66" spans="1:22" ht="15.6" x14ac:dyDescent="0.3">
      <c r="A66" s="94" t="str">
        <f t="shared" si="31"/>
        <v/>
      </c>
      <c r="B66" s="116">
        <v>8</v>
      </c>
      <c r="C66" s="683"/>
      <c r="D66" s="685"/>
      <c r="E66" s="695"/>
      <c r="F66" s="175"/>
      <c r="G66" s="689"/>
      <c r="H66" s="689"/>
      <c r="I66" s="690"/>
      <c r="J66" s="698"/>
      <c r="K66" s="700"/>
      <c r="L66" s="701"/>
      <c r="M66" s="169" t="s">
        <v>935</v>
      </c>
      <c r="N66" s="174"/>
      <c r="O66" s="620" t="s">
        <v>840</v>
      </c>
      <c r="P66" s="186"/>
      <c r="Q66" s="187"/>
      <c r="R66" s="192"/>
      <c r="S66" s="192"/>
      <c r="T66" s="188"/>
      <c r="U66" s="193"/>
      <c r="V66" s="44" t="str">
        <f t="shared" si="32"/>
        <v/>
      </c>
    </row>
    <row r="67" spans="1:22" ht="15.6" x14ac:dyDescent="0.3">
      <c r="A67" s="94" t="str">
        <f t="shared" si="31"/>
        <v/>
      </c>
      <c r="B67" s="116">
        <v>8</v>
      </c>
      <c r="C67" s="683"/>
      <c r="D67" s="684" t="s">
        <v>345</v>
      </c>
      <c r="E67" s="694"/>
      <c r="F67" s="173" t="str">
        <f>IF(E67&lt;&gt;"","?","")</f>
        <v/>
      </c>
      <c r="G67" s="689"/>
      <c r="H67" s="689"/>
      <c r="I67" s="690">
        <f t="shared" ref="I67" si="33">IF(OR(G67="Ja",G67="JA",G67="ja",G67="Oui",G67="OUI",G67="oui"),100%,
IF(OR(G67="Nein",G67="NEIN",G67="nein",G67="Oon",G67="NON",G67="non"),0%,
IF(G67&lt;&gt;0,
IF(H67&gt;=G67,G67/H67,
IF(H67&lt;G67,H67/G67)),
0%)))</f>
        <v>0</v>
      </c>
      <c r="J67" s="697">
        <v>0.7</v>
      </c>
      <c r="K67" s="699">
        <v>0.9</v>
      </c>
      <c r="L67" s="701" t="str">
        <f>IF(E67="","",IF(I67&lt;=J67,3,IF(I67&lt;=K67,2,1)))</f>
        <v/>
      </c>
      <c r="M67" s="169" t="s">
        <v>936</v>
      </c>
      <c r="N67" s="174"/>
      <c r="O67" s="620" t="s">
        <v>841</v>
      </c>
      <c r="P67" s="186"/>
      <c r="Q67" s="187"/>
      <c r="R67" s="192"/>
      <c r="S67" s="192"/>
      <c r="T67" s="188"/>
      <c r="U67" s="193"/>
      <c r="V67" s="44" t="str">
        <f t="shared" si="32"/>
        <v/>
      </c>
    </row>
    <row r="68" spans="1:22" ht="15.6" x14ac:dyDescent="0.3">
      <c r="A68" s="94" t="str">
        <f t="shared" si="31"/>
        <v/>
      </c>
      <c r="B68" s="116">
        <v>8</v>
      </c>
      <c r="C68" s="683"/>
      <c r="D68" s="685"/>
      <c r="E68" s="695"/>
      <c r="F68" s="175"/>
      <c r="G68" s="689"/>
      <c r="H68" s="689"/>
      <c r="I68" s="690"/>
      <c r="J68" s="698"/>
      <c r="K68" s="700"/>
      <c r="L68" s="701"/>
      <c r="M68" s="169" t="s">
        <v>937</v>
      </c>
      <c r="N68" s="174"/>
      <c r="O68" s="620" t="s">
        <v>842</v>
      </c>
      <c r="P68" s="186"/>
      <c r="Q68" s="187"/>
      <c r="R68" s="192"/>
      <c r="S68" s="192"/>
      <c r="T68" s="188"/>
      <c r="U68" s="193"/>
      <c r="V68" s="44" t="str">
        <f t="shared" si="32"/>
        <v/>
      </c>
    </row>
    <row r="69" spans="1:22" ht="15.6" x14ac:dyDescent="0.3">
      <c r="A69" s="94" t="str">
        <f t="shared" si="31"/>
        <v/>
      </c>
      <c r="B69" s="116">
        <v>8</v>
      </c>
      <c r="C69" s="683"/>
      <c r="D69" s="684" t="s">
        <v>348</v>
      </c>
      <c r="E69" s="695"/>
      <c r="F69" s="173" t="str">
        <f>IF(E69&lt;&gt;"","?","")</f>
        <v/>
      </c>
      <c r="G69" s="689"/>
      <c r="H69" s="689"/>
      <c r="I69" s="690">
        <f t="shared" ref="I69" si="34">IF(OR(G69="Ja",G69="JA",G69="ja",G69="Oui",G69="OUI",G69="oui"),100%,
IF(OR(G69="Nein",G69="NEIN",G69="nein",G69="Oon",G69="NON",G69="non"),0%,
IF(G69&lt;&gt;0,
IF(H69&gt;=G69,G69/H69,
IF(H69&lt;G69,H69/G69)),
0%)))</f>
        <v>0</v>
      </c>
      <c r="J69" s="697">
        <v>0.7</v>
      </c>
      <c r="K69" s="699">
        <v>0.9</v>
      </c>
      <c r="L69" s="701" t="str">
        <f>IF(E69="","",IF(I69&lt;=J69,3,IF(I69&lt;=K69,2,1)))</f>
        <v/>
      </c>
      <c r="M69" s="169" t="s">
        <v>938</v>
      </c>
      <c r="N69" s="174"/>
      <c r="O69" s="620" t="s">
        <v>843</v>
      </c>
      <c r="P69" s="186"/>
      <c r="Q69" s="187"/>
      <c r="R69" s="192"/>
      <c r="S69" s="192"/>
      <c r="T69" s="188"/>
      <c r="U69" s="193"/>
      <c r="V69" s="44" t="str">
        <f t="shared" si="32"/>
        <v/>
      </c>
    </row>
    <row r="70" spans="1:22" ht="15.6" x14ac:dyDescent="0.3">
      <c r="A70" s="94" t="str">
        <f t="shared" si="31"/>
        <v/>
      </c>
      <c r="B70" s="116">
        <v>8</v>
      </c>
      <c r="C70" s="683"/>
      <c r="D70" s="685"/>
      <c r="E70" s="695"/>
      <c r="F70" s="176"/>
      <c r="G70" s="689"/>
      <c r="H70" s="689"/>
      <c r="I70" s="702"/>
      <c r="J70" s="698"/>
      <c r="K70" s="700"/>
      <c r="L70" s="701"/>
      <c r="M70" s="169" t="s">
        <v>939</v>
      </c>
      <c r="N70" s="174"/>
      <c r="O70" s="620" t="s">
        <v>844</v>
      </c>
      <c r="P70" s="186"/>
      <c r="Q70" s="187"/>
      <c r="R70" s="192"/>
      <c r="S70" s="192"/>
      <c r="T70" s="188"/>
      <c r="U70" s="193"/>
      <c r="V70" s="44" t="str">
        <f t="shared" si="32"/>
        <v/>
      </c>
    </row>
    <row r="71" spans="1:22" ht="15.6" x14ac:dyDescent="0.3">
      <c r="A71" s="94" t="str">
        <f t="shared" ref="A71:A78" si="35">IF($C$71="","","ok")</f>
        <v/>
      </c>
      <c r="B71" s="177">
        <v>9</v>
      </c>
      <c r="C71" s="691"/>
      <c r="D71" s="692" t="s">
        <v>351</v>
      </c>
      <c r="E71" s="677"/>
      <c r="F71" s="168" t="str">
        <f>IF(E71&lt;&gt;"","?","")</f>
        <v/>
      </c>
      <c r="G71" s="679"/>
      <c r="H71" s="670"/>
      <c r="I71" s="671">
        <f>IF(OR(G71="Ja",G71="JA",G71="ja",G71="Oui",G71="OUI",G71="oui"),100%,
IF(OR(G71="Nein",G71="NEIN",G71="nein",G71="Oon",G71="NON",G71="non"),0%,
IF(G71&lt;&gt;0,
IF(H71&gt;=G71,G71/H71,
IF(H71&lt;G71,H71/G71)),
0%)))</f>
        <v>0</v>
      </c>
      <c r="J71" s="672">
        <v>0.7</v>
      </c>
      <c r="K71" s="674">
        <v>0.9</v>
      </c>
      <c r="L71" s="681" t="str">
        <f>IF(E71="","",IF(I71&lt;=J71,3,IF(I71&lt;=K71,2,1)))</f>
        <v/>
      </c>
      <c r="M71" s="169" t="s">
        <v>940</v>
      </c>
      <c r="N71" s="170"/>
      <c r="O71" s="169" t="s">
        <v>845</v>
      </c>
      <c r="P71" s="182"/>
      <c r="Q71" s="183"/>
      <c r="R71" s="190"/>
      <c r="S71" s="190"/>
      <c r="T71" s="184"/>
      <c r="U71" s="191"/>
      <c r="V71" s="44" t="str">
        <f t="shared" ref="V71:V78" si="36">IF($C$71="","","drucken")</f>
        <v/>
      </c>
    </row>
    <row r="72" spans="1:22" ht="15.6" x14ac:dyDescent="0.3">
      <c r="A72" s="94" t="str">
        <f t="shared" si="35"/>
        <v/>
      </c>
      <c r="B72" s="116">
        <v>9</v>
      </c>
      <c r="C72" s="691"/>
      <c r="D72" s="693"/>
      <c r="E72" s="678"/>
      <c r="F72" s="171"/>
      <c r="G72" s="680"/>
      <c r="H72" s="670"/>
      <c r="I72" s="671"/>
      <c r="J72" s="673"/>
      <c r="K72" s="675"/>
      <c r="L72" s="681"/>
      <c r="M72" s="169" t="s">
        <v>941</v>
      </c>
      <c r="N72" s="170"/>
      <c r="O72" s="169" t="s">
        <v>846</v>
      </c>
      <c r="P72" s="182"/>
      <c r="Q72" s="183"/>
      <c r="R72" s="190"/>
      <c r="S72" s="190"/>
      <c r="T72" s="184"/>
      <c r="U72" s="191"/>
      <c r="V72" s="44" t="str">
        <f t="shared" si="36"/>
        <v/>
      </c>
    </row>
    <row r="73" spans="1:22" ht="15.6" x14ac:dyDescent="0.3">
      <c r="A73" s="94" t="str">
        <f t="shared" si="35"/>
        <v/>
      </c>
      <c r="B73" s="116">
        <v>9</v>
      </c>
      <c r="C73" s="691"/>
      <c r="D73" s="692" t="s">
        <v>354</v>
      </c>
      <c r="E73" s="686"/>
      <c r="F73" s="168" t="str">
        <f>IF(E73&lt;&gt;"","?","")</f>
        <v/>
      </c>
      <c r="G73" s="670"/>
      <c r="H73" s="670"/>
      <c r="I73" s="671">
        <f>IF(OR(G73="Ja",G73="JA",G73="ja",G73="Oui",G73="OUI",G73="oui"),100%,
IF(OR(G73="Nein",G73="NEIN",G73="nein",G73="Oon",G73="NON",G73="non"),0%,
IF(G73&lt;&gt;0,
IF(H73&gt;=G73,G73/H73,
IF(H73&lt;G73,H73/G73)),
0%)))</f>
        <v>0</v>
      </c>
      <c r="J73" s="672">
        <v>0.7</v>
      </c>
      <c r="K73" s="674">
        <v>0.9</v>
      </c>
      <c r="L73" s="681" t="str">
        <f>IF(E73="","",IF(I73&lt;=J73,3,IF(I73&lt;=K73,2,1)))</f>
        <v/>
      </c>
      <c r="M73" s="169" t="s">
        <v>942</v>
      </c>
      <c r="N73" s="170"/>
      <c r="O73" s="169" t="s">
        <v>847</v>
      </c>
      <c r="P73" s="182"/>
      <c r="Q73" s="183"/>
      <c r="R73" s="190"/>
      <c r="S73" s="190"/>
      <c r="T73" s="184"/>
      <c r="U73" s="191"/>
      <c r="V73" s="44" t="str">
        <f t="shared" si="36"/>
        <v/>
      </c>
    </row>
    <row r="74" spans="1:22" ht="15.6" x14ac:dyDescent="0.3">
      <c r="A74" s="94" t="str">
        <f t="shared" si="35"/>
        <v/>
      </c>
      <c r="B74" s="116">
        <v>9</v>
      </c>
      <c r="C74" s="691"/>
      <c r="D74" s="693"/>
      <c r="E74" s="686"/>
      <c r="F74" s="171"/>
      <c r="G74" s="670"/>
      <c r="H74" s="670"/>
      <c r="I74" s="671"/>
      <c r="J74" s="673"/>
      <c r="K74" s="675"/>
      <c r="L74" s="681"/>
      <c r="M74" s="169" t="s">
        <v>943</v>
      </c>
      <c r="N74" s="170"/>
      <c r="O74" s="169" t="s">
        <v>848</v>
      </c>
      <c r="P74" s="182"/>
      <c r="Q74" s="183"/>
      <c r="R74" s="190"/>
      <c r="S74" s="190"/>
      <c r="T74" s="184"/>
      <c r="U74" s="191"/>
      <c r="V74" s="44" t="str">
        <f t="shared" si="36"/>
        <v/>
      </c>
    </row>
    <row r="75" spans="1:22" ht="15.6" x14ac:dyDescent="0.3">
      <c r="A75" s="94" t="str">
        <f t="shared" si="35"/>
        <v/>
      </c>
      <c r="B75" s="116">
        <v>9</v>
      </c>
      <c r="C75" s="691"/>
      <c r="D75" s="692" t="s">
        <v>357</v>
      </c>
      <c r="E75" s="696"/>
      <c r="F75" s="168" t="str">
        <f>IF(E75&lt;&gt;"","?","")</f>
        <v/>
      </c>
      <c r="G75" s="670"/>
      <c r="H75" s="670"/>
      <c r="I75" s="671">
        <f t="shared" ref="I75" si="37">IF(OR(G75="Ja",G75="JA",G75="ja",G75="Oui",G75="OUI",G75="oui"),100%,
IF(OR(G75="Nein",G75="NEIN",G75="nein",G75="Oon",G75="NON",G75="non"),0%,
IF(G75&lt;&gt;0,
IF(H75&gt;=G75,G75/H75,
IF(H75&lt;G75,H75/G75)),
0%)))</f>
        <v>0</v>
      </c>
      <c r="J75" s="672">
        <v>0.7</v>
      </c>
      <c r="K75" s="674">
        <v>0.9</v>
      </c>
      <c r="L75" s="681" t="str">
        <f>IF(E75="","",IF(I75&lt;=J75,3,IF(I75&lt;=K75,2,1)))</f>
        <v/>
      </c>
      <c r="M75" s="169" t="s">
        <v>944</v>
      </c>
      <c r="N75" s="170"/>
      <c r="O75" s="169" t="s">
        <v>849</v>
      </c>
      <c r="P75" s="182"/>
      <c r="Q75" s="183"/>
      <c r="R75" s="190"/>
      <c r="S75" s="190"/>
      <c r="T75" s="184"/>
      <c r="U75" s="191"/>
      <c r="V75" s="44" t="str">
        <f t="shared" si="36"/>
        <v/>
      </c>
    </row>
    <row r="76" spans="1:22" ht="15.6" x14ac:dyDescent="0.3">
      <c r="A76" s="94" t="str">
        <f t="shared" si="35"/>
        <v/>
      </c>
      <c r="B76" s="116">
        <v>9</v>
      </c>
      <c r="C76" s="691"/>
      <c r="D76" s="693"/>
      <c r="E76" s="686"/>
      <c r="F76" s="171"/>
      <c r="G76" s="670"/>
      <c r="H76" s="670"/>
      <c r="I76" s="671"/>
      <c r="J76" s="673"/>
      <c r="K76" s="675"/>
      <c r="L76" s="681"/>
      <c r="M76" s="169" t="s">
        <v>945</v>
      </c>
      <c r="N76" s="170"/>
      <c r="O76" s="169" t="s">
        <v>850</v>
      </c>
      <c r="P76" s="182"/>
      <c r="Q76" s="183"/>
      <c r="R76" s="190"/>
      <c r="S76" s="190"/>
      <c r="T76" s="184"/>
      <c r="U76" s="191"/>
      <c r="V76" s="44" t="str">
        <f t="shared" si="36"/>
        <v/>
      </c>
    </row>
    <row r="77" spans="1:22" ht="15.6" x14ac:dyDescent="0.3">
      <c r="A77" s="94" t="str">
        <f t="shared" si="35"/>
        <v/>
      </c>
      <c r="B77" s="116">
        <v>9</v>
      </c>
      <c r="C77" s="691"/>
      <c r="D77" s="692" t="s">
        <v>360</v>
      </c>
      <c r="E77" s="686"/>
      <c r="F77" s="168" t="str">
        <f>IF(E77&lt;&gt;"","?","")</f>
        <v/>
      </c>
      <c r="G77" s="670"/>
      <c r="H77" s="670"/>
      <c r="I77" s="671">
        <f t="shared" ref="I77" si="38">IF(OR(G77="Ja",G77="JA",G77="ja",G77="Oui",G77="OUI",G77="oui"),100%,
IF(OR(G77="Nein",G77="NEIN",G77="nein",G77="Oon",G77="NON",G77="non"),0%,
IF(G77&lt;&gt;0,
IF(H77&gt;=G77,G77/H77,
IF(H77&lt;G77,H77/G77)),
0%)))</f>
        <v>0</v>
      </c>
      <c r="J77" s="672">
        <v>0.7</v>
      </c>
      <c r="K77" s="674">
        <v>0.9</v>
      </c>
      <c r="L77" s="681" t="str">
        <f>IF(E77="","",IF(I77&lt;=J77,3,IF(I77&lt;=K77,2,1)))</f>
        <v/>
      </c>
      <c r="M77" s="169" t="s">
        <v>946</v>
      </c>
      <c r="N77" s="170"/>
      <c r="O77" s="169" t="s">
        <v>851</v>
      </c>
      <c r="P77" s="182"/>
      <c r="Q77" s="183"/>
      <c r="R77" s="190"/>
      <c r="S77" s="190"/>
      <c r="T77" s="184"/>
      <c r="U77" s="191"/>
      <c r="V77" s="44" t="str">
        <f t="shared" si="36"/>
        <v/>
      </c>
    </row>
    <row r="78" spans="1:22" ht="15.6" x14ac:dyDescent="0.3">
      <c r="A78" s="94" t="str">
        <f t="shared" si="35"/>
        <v/>
      </c>
      <c r="B78" s="116">
        <v>9</v>
      </c>
      <c r="C78" s="691"/>
      <c r="D78" s="693"/>
      <c r="E78" s="686"/>
      <c r="F78" s="172"/>
      <c r="G78" s="670"/>
      <c r="H78" s="670"/>
      <c r="I78" s="682"/>
      <c r="J78" s="673"/>
      <c r="K78" s="675"/>
      <c r="L78" s="681"/>
      <c r="M78" s="169" t="s">
        <v>947</v>
      </c>
      <c r="N78" s="170"/>
      <c r="O78" s="169" t="s">
        <v>852</v>
      </c>
      <c r="P78" s="182"/>
      <c r="Q78" s="183"/>
      <c r="R78" s="190"/>
      <c r="S78" s="190"/>
      <c r="T78" s="184"/>
      <c r="U78" s="191"/>
      <c r="V78" s="44" t="str">
        <f t="shared" si="36"/>
        <v/>
      </c>
    </row>
    <row r="79" spans="1:22" ht="15.6" x14ac:dyDescent="0.3">
      <c r="A79" s="94" t="str">
        <f t="shared" ref="A79:A86" si="39">IF($C$79="","","ok")</f>
        <v/>
      </c>
      <c r="B79" s="177">
        <v>10</v>
      </c>
      <c r="C79" s="683"/>
      <c r="D79" s="684" t="s">
        <v>363</v>
      </c>
      <c r="E79" s="703"/>
      <c r="F79" s="173" t="str">
        <f>IF(E79&lt;&gt;"","?","")</f>
        <v/>
      </c>
      <c r="G79" s="687"/>
      <c r="H79" s="689"/>
      <c r="I79" s="690">
        <f>IF(OR(G79="Ja",G79="JA",G79="ja",G79="Oui",G79="OUI",G79="oui"),100%,
IF(OR(G79="Nein",G79="NEIN",G79="nein",G79="Oon",G79="NON",G79="non"),0%,
IF(G79&lt;&gt;0,
IF(H79&gt;=G79,G79/H79,
IF(H79&lt;G79,H79/G79)),
0%)))</f>
        <v>0</v>
      </c>
      <c r="J79" s="697">
        <v>0.7</v>
      </c>
      <c r="K79" s="699">
        <v>0.9</v>
      </c>
      <c r="L79" s="701" t="str">
        <f>IF(E79="","",IF(I79&lt;=J79,3,IF(I79&lt;=K79,2,1)))</f>
        <v/>
      </c>
      <c r="M79" s="169" t="s">
        <v>948</v>
      </c>
      <c r="N79" s="174"/>
      <c r="O79" s="620" t="s">
        <v>853</v>
      </c>
      <c r="P79" s="186"/>
      <c r="Q79" s="187"/>
      <c r="R79" s="192"/>
      <c r="S79" s="192"/>
      <c r="T79" s="188"/>
      <c r="U79" s="193"/>
      <c r="V79" s="44" t="str">
        <f>IF($C$79="","","drucken")</f>
        <v/>
      </c>
    </row>
    <row r="80" spans="1:22" ht="15.6" x14ac:dyDescent="0.3">
      <c r="A80" s="94" t="str">
        <f t="shared" si="39"/>
        <v/>
      </c>
      <c r="B80" s="116">
        <v>10</v>
      </c>
      <c r="C80" s="683"/>
      <c r="D80" s="685"/>
      <c r="E80" s="704"/>
      <c r="F80" s="175"/>
      <c r="G80" s="688"/>
      <c r="H80" s="689"/>
      <c r="I80" s="690"/>
      <c r="J80" s="698"/>
      <c r="K80" s="700"/>
      <c r="L80" s="701"/>
      <c r="M80" s="169" t="s">
        <v>949</v>
      </c>
      <c r="N80" s="174"/>
      <c r="O80" s="620" t="s">
        <v>854</v>
      </c>
      <c r="P80" s="186"/>
      <c r="Q80" s="187"/>
      <c r="R80" s="192"/>
      <c r="S80" s="192"/>
      <c r="T80" s="188"/>
      <c r="U80" s="193"/>
      <c r="V80" s="44" t="str">
        <f t="shared" ref="V80:V87" si="40">IF($C$79="","","drucken")</f>
        <v/>
      </c>
    </row>
    <row r="81" spans="1:22" ht="15.6" x14ac:dyDescent="0.3">
      <c r="A81" s="94" t="str">
        <f t="shared" si="39"/>
        <v/>
      </c>
      <c r="B81" s="116">
        <v>10</v>
      </c>
      <c r="C81" s="683"/>
      <c r="D81" s="684" t="s">
        <v>366</v>
      </c>
      <c r="E81" s="695"/>
      <c r="F81" s="173" t="str">
        <f>IF(E81&lt;&gt;"","?","")</f>
        <v/>
      </c>
      <c r="G81" s="689"/>
      <c r="H81" s="689"/>
      <c r="I81" s="690">
        <f>IF(OR(G81="Ja",G81="JA",G81="ja",G81="Oui",G81="OUI",G81="oui"),100%,
IF(OR(G81="Nein",G81="NEIN",G81="nein",G81="Oon",G81="NON",G81="non"),0%,
IF(G81&lt;&gt;0,
IF(H81&gt;=G81,G81/H81,
IF(H81&lt;G81,H81/G81)),
0%)))</f>
        <v>0</v>
      </c>
      <c r="J81" s="697">
        <v>0.7</v>
      </c>
      <c r="K81" s="699">
        <v>0.9</v>
      </c>
      <c r="L81" s="701" t="str">
        <f>IF(E81="","",IF(I81&lt;=J81,3,IF(I81&lt;=K81,2,1)))</f>
        <v/>
      </c>
      <c r="M81" s="169" t="s">
        <v>950</v>
      </c>
      <c r="N81" s="174"/>
      <c r="O81" s="620" t="s">
        <v>855</v>
      </c>
      <c r="P81" s="186"/>
      <c r="Q81" s="187"/>
      <c r="R81" s="192"/>
      <c r="S81" s="192"/>
      <c r="T81" s="188"/>
      <c r="U81" s="193"/>
      <c r="V81" s="44" t="str">
        <f t="shared" si="40"/>
        <v/>
      </c>
    </row>
    <row r="82" spans="1:22" ht="15.6" x14ac:dyDescent="0.3">
      <c r="A82" s="94" t="str">
        <f t="shared" si="39"/>
        <v/>
      </c>
      <c r="B82" s="116">
        <v>10</v>
      </c>
      <c r="C82" s="683"/>
      <c r="D82" s="685"/>
      <c r="E82" s="695"/>
      <c r="F82" s="175"/>
      <c r="G82" s="689"/>
      <c r="H82" s="689"/>
      <c r="I82" s="690"/>
      <c r="J82" s="698"/>
      <c r="K82" s="700"/>
      <c r="L82" s="701"/>
      <c r="M82" s="169" t="s">
        <v>951</v>
      </c>
      <c r="N82" s="174"/>
      <c r="O82" s="620" t="s">
        <v>856</v>
      </c>
      <c r="P82" s="186"/>
      <c r="Q82" s="187"/>
      <c r="R82" s="192"/>
      <c r="S82" s="192"/>
      <c r="T82" s="188"/>
      <c r="U82" s="193"/>
      <c r="V82" s="44" t="str">
        <f t="shared" si="40"/>
        <v/>
      </c>
    </row>
    <row r="83" spans="1:22" ht="15.6" x14ac:dyDescent="0.3">
      <c r="A83" s="94" t="str">
        <f t="shared" si="39"/>
        <v/>
      </c>
      <c r="B83" s="116">
        <v>10</v>
      </c>
      <c r="C83" s="683"/>
      <c r="D83" s="684" t="s">
        <v>369</v>
      </c>
      <c r="E83" s="694"/>
      <c r="F83" s="173" t="str">
        <f>IF(E83&lt;&gt;"","?","")</f>
        <v/>
      </c>
      <c r="G83" s="689"/>
      <c r="H83" s="689"/>
      <c r="I83" s="690">
        <f t="shared" ref="I83" si="41">IF(OR(G83="Ja",G83="JA",G83="ja",G83="Oui",G83="OUI",G83="oui"),100%,
IF(OR(G83="Nein",G83="NEIN",G83="nein",G83="Oon",G83="NON",G83="non"),0%,
IF(G83&lt;&gt;0,
IF(H83&gt;=G83,G83/H83,
IF(H83&lt;G83,H83/G83)),
0%)))</f>
        <v>0</v>
      </c>
      <c r="J83" s="697">
        <v>0.7</v>
      </c>
      <c r="K83" s="699">
        <v>0.9</v>
      </c>
      <c r="L83" s="701" t="str">
        <f>IF(E83="","",IF(I83&lt;=J83,3,IF(I83&lt;=K83,2,1)))</f>
        <v/>
      </c>
      <c r="M83" s="169" t="s">
        <v>952</v>
      </c>
      <c r="N83" s="174"/>
      <c r="O83" s="620" t="s">
        <v>857</v>
      </c>
      <c r="P83" s="186"/>
      <c r="Q83" s="187"/>
      <c r="R83" s="192"/>
      <c r="S83" s="192"/>
      <c r="T83" s="188"/>
      <c r="U83" s="193"/>
      <c r="V83" s="44" t="str">
        <f t="shared" si="40"/>
        <v/>
      </c>
    </row>
    <row r="84" spans="1:22" ht="15.6" x14ac:dyDescent="0.3">
      <c r="A84" s="94" t="str">
        <f t="shared" si="39"/>
        <v/>
      </c>
      <c r="B84" s="116">
        <v>10</v>
      </c>
      <c r="C84" s="683"/>
      <c r="D84" s="685"/>
      <c r="E84" s="695"/>
      <c r="F84" s="175"/>
      <c r="G84" s="689"/>
      <c r="H84" s="689"/>
      <c r="I84" s="690"/>
      <c r="J84" s="698"/>
      <c r="K84" s="700"/>
      <c r="L84" s="701"/>
      <c r="M84" s="169" t="s">
        <v>953</v>
      </c>
      <c r="N84" s="174"/>
      <c r="O84" s="620" t="s">
        <v>858</v>
      </c>
      <c r="P84" s="186"/>
      <c r="Q84" s="187"/>
      <c r="R84" s="192"/>
      <c r="S84" s="192"/>
      <c r="T84" s="188"/>
      <c r="U84" s="193"/>
      <c r="V84" s="44" t="str">
        <f t="shared" si="40"/>
        <v/>
      </c>
    </row>
    <row r="85" spans="1:22" ht="15.6" x14ac:dyDescent="0.3">
      <c r="A85" s="94" t="str">
        <f t="shared" si="39"/>
        <v/>
      </c>
      <c r="B85" s="116">
        <v>10</v>
      </c>
      <c r="C85" s="683"/>
      <c r="D85" s="684" t="s">
        <v>372</v>
      </c>
      <c r="E85" s="695"/>
      <c r="F85" s="173" t="str">
        <f>IF(E85&lt;&gt;"","?","")</f>
        <v/>
      </c>
      <c r="G85" s="689"/>
      <c r="H85" s="689"/>
      <c r="I85" s="690">
        <f t="shared" ref="I85" si="42">IF(OR(G85="Ja",G85="JA",G85="ja",G85="Oui",G85="OUI",G85="oui"),100%,
IF(OR(G85="Nein",G85="NEIN",G85="nein",G85="Oon",G85="NON",G85="non"),0%,
IF(G85&lt;&gt;0,
IF(H85&gt;=G85,G85/H85,
IF(H85&lt;G85,H85/G85)),
0%)))</f>
        <v>0</v>
      </c>
      <c r="J85" s="697">
        <v>0.7</v>
      </c>
      <c r="K85" s="699">
        <v>0.9</v>
      </c>
      <c r="L85" s="701" t="str">
        <f>IF(E85="","",IF(I85&lt;=J85,3,IF(I85&lt;=K85,2,1)))</f>
        <v/>
      </c>
      <c r="M85" s="169" t="s">
        <v>954</v>
      </c>
      <c r="N85" s="174"/>
      <c r="O85" s="620" t="s">
        <v>859</v>
      </c>
      <c r="P85" s="186"/>
      <c r="Q85" s="187"/>
      <c r="R85" s="192"/>
      <c r="S85" s="192"/>
      <c r="T85" s="188"/>
      <c r="U85" s="193"/>
      <c r="V85" s="44" t="str">
        <f t="shared" si="40"/>
        <v/>
      </c>
    </row>
    <row r="86" spans="1:22" ht="15.6" x14ac:dyDescent="0.3">
      <c r="A86" s="94" t="str">
        <f t="shared" si="39"/>
        <v/>
      </c>
      <c r="B86" s="116">
        <v>10</v>
      </c>
      <c r="C86" s="683"/>
      <c r="D86" s="685"/>
      <c r="E86" s="695"/>
      <c r="F86" s="176"/>
      <c r="G86" s="689"/>
      <c r="H86" s="689"/>
      <c r="I86" s="702"/>
      <c r="J86" s="698"/>
      <c r="K86" s="700"/>
      <c r="L86" s="701"/>
      <c r="M86" s="169" t="s">
        <v>955</v>
      </c>
      <c r="N86" s="174"/>
      <c r="O86" s="620" t="s">
        <v>860</v>
      </c>
      <c r="P86" s="186"/>
      <c r="Q86" s="187"/>
      <c r="R86" s="192"/>
      <c r="S86" s="192"/>
      <c r="T86" s="188"/>
      <c r="U86" s="193"/>
      <c r="V86" s="44" t="str">
        <f t="shared" si="40"/>
        <v/>
      </c>
    </row>
    <row r="87" spans="1:22" s="120" customFormat="1" ht="15.6" x14ac:dyDescent="0.3">
      <c r="A87" s="94" t="str">
        <f>IF($C$87="","","ok")</f>
        <v>ok</v>
      </c>
      <c r="C87" s="155" t="s">
        <v>603</v>
      </c>
      <c r="D87"/>
      <c r="E87" s="109"/>
      <c r="F87" s="109"/>
      <c r="G87" s="111"/>
      <c r="H87" s="117"/>
      <c r="I87" s="117"/>
      <c r="J87" s="117"/>
      <c r="K87" s="117"/>
      <c r="L87" s="118"/>
      <c r="M87" s="121"/>
      <c r="N87" s="119"/>
      <c r="O87" s="121"/>
      <c r="P87" s="119"/>
      <c r="Q87" s="119"/>
      <c r="R87" s="119"/>
      <c r="S87" s="119"/>
      <c r="T87" s="119"/>
      <c r="U87" s="118"/>
      <c r="V87" s="44" t="str">
        <f t="shared" si="40"/>
        <v/>
      </c>
    </row>
    <row r="88" spans="1:22" ht="15.6" x14ac:dyDescent="0.3">
      <c r="H88" s="122"/>
      <c r="I88" s="122"/>
      <c r="J88" s="122"/>
      <c r="K88" s="122"/>
      <c r="L88" s="123"/>
      <c r="M88" s="121"/>
      <c r="N88" s="124"/>
      <c r="O88" s="121"/>
      <c r="P88" s="124"/>
      <c r="Q88" s="124"/>
      <c r="R88" s="124"/>
      <c r="S88" s="124"/>
      <c r="T88" s="124"/>
      <c r="U88" s="123"/>
    </row>
    <row r="89" spans="1:22" ht="18.75" customHeight="1" x14ac:dyDescent="0.3">
      <c r="H89" s="122"/>
      <c r="I89" s="122"/>
      <c r="J89" s="122"/>
      <c r="K89" s="122"/>
      <c r="L89" s="123"/>
      <c r="M89" s="121"/>
      <c r="N89" s="124"/>
      <c r="O89" s="121"/>
      <c r="P89" s="124"/>
      <c r="Q89" s="124"/>
      <c r="R89" s="124"/>
      <c r="S89" s="124"/>
      <c r="T89" s="124"/>
      <c r="U89" s="123"/>
    </row>
    <row r="90" spans="1:22" ht="18.75" customHeight="1" x14ac:dyDescent="0.3">
      <c r="H90" s="122"/>
      <c r="I90" s="122"/>
      <c r="J90" s="122"/>
      <c r="K90" s="122"/>
      <c r="L90" s="123"/>
      <c r="M90" s="121"/>
      <c r="N90" s="124"/>
      <c r="O90" s="121"/>
      <c r="P90" s="124"/>
      <c r="Q90" s="124"/>
      <c r="R90" s="124"/>
      <c r="S90" s="124"/>
      <c r="T90" s="124"/>
      <c r="U90" s="123"/>
    </row>
    <row r="91" spans="1:22" ht="18.75" customHeight="1" x14ac:dyDescent="0.3">
      <c r="H91" s="122"/>
      <c r="I91" s="122"/>
      <c r="J91" s="122"/>
      <c r="K91" s="122"/>
      <c r="L91" s="123"/>
      <c r="M91" s="121"/>
      <c r="N91" s="124"/>
      <c r="O91" s="121"/>
      <c r="P91" s="124"/>
      <c r="Q91" s="124"/>
      <c r="R91" s="124"/>
      <c r="S91" s="124"/>
      <c r="T91" s="124"/>
      <c r="U91" s="123"/>
    </row>
    <row r="92" spans="1:22" ht="18.75" customHeight="1" x14ac:dyDescent="0.3">
      <c r="H92" s="122"/>
      <c r="I92" s="122"/>
      <c r="J92" s="122"/>
      <c r="K92" s="122"/>
      <c r="L92" s="123"/>
      <c r="M92" s="121"/>
      <c r="N92" s="124"/>
      <c r="O92" s="121"/>
      <c r="P92" s="124"/>
      <c r="Q92" s="124"/>
      <c r="R92" s="124"/>
      <c r="S92" s="124"/>
      <c r="T92" s="124"/>
      <c r="U92" s="123"/>
    </row>
    <row r="93" spans="1:22" ht="18.75" customHeight="1" x14ac:dyDescent="0.3">
      <c r="H93" s="122"/>
      <c r="I93" s="122"/>
      <c r="J93" s="122"/>
      <c r="K93" s="122"/>
      <c r="L93" s="123"/>
      <c r="M93" s="121"/>
      <c r="N93" s="124"/>
      <c r="O93" s="121"/>
      <c r="P93" s="124"/>
      <c r="Q93" s="124"/>
      <c r="R93" s="124"/>
      <c r="S93" s="124"/>
      <c r="T93" s="124"/>
      <c r="U93" s="123"/>
    </row>
  </sheetData>
  <sheetProtection sheet="1" objects="1" scenarios="1" formatCells="0" formatColumns="0" formatRows="0" insertHyperlinks="0" selectLockedCells="1" sort="0" autoFilter="0"/>
  <autoFilter ref="A6:U87" xr:uid="{00000000-0009-0000-0000-000007000000}"/>
  <mergeCells count="330">
    <mergeCell ref="J85:J86"/>
    <mergeCell ref="K85:K86"/>
    <mergeCell ref="L85:L86"/>
    <mergeCell ref="L81:L82"/>
    <mergeCell ref="D83:D84"/>
    <mergeCell ref="E83:E84"/>
    <mergeCell ref="G83:G84"/>
    <mergeCell ref="H83:H84"/>
    <mergeCell ref="I83:I84"/>
    <mergeCell ref="J83:J84"/>
    <mergeCell ref="K83:K84"/>
    <mergeCell ref="L83:L84"/>
    <mergeCell ref="J79:J80"/>
    <mergeCell ref="K79:K80"/>
    <mergeCell ref="L79:L80"/>
    <mergeCell ref="D81:D82"/>
    <mergeCell ref="E81:E82"/>
    <mergeCell ref="G81:G82"/>
    <mergeCell ref="H81:H82"/>
    <mergeCell ref="I81:I82"/>
    <mergeCell ref="J81:J82"/>
    <mergeCell ref="K81:K82"/>
    <mergeCell ref="C79:C86"/>
    <mergeCell ref="D79:D80"/>
    <mergeCell ref="E79:E80"/>
    <mergeCell ref="G79:G80"/>
    <mergeCell ref="H79:H80"/>
    <mergeCell ref="I79:I80"/>
    <mergeCell ref="D85:D86"/>
    <mergeCell ref="E85:E86"/>
    <mergeCell ref="G85:G86"/>
    <mergeCell ref="H85:H86"/>
    <mergeCell ref="I85:I86"/>
    <mergeCell ref="I73:I74"/>
    <mergeCell ref="J73:J74"/>
    <mergeCell ref="K73:K74"/>
    <mergeCell ref="L73:L74"/>
    <mergeCell ref="K75:K76"/>
    <mergeCell ref="L75:L76"/>
    <mergeCell ref="D77:D78"/>
    <mergeCell ref="E77:E78"/>
    <mergeCell ref="G77:G78"/>
    <mergeCell ref="H77:H78"/>
    <mergeCell ref="I77:I78"/>
    <mergeCell ref="J77:J78"/>
    <mergeCell ref="K77:K78"/>
    <mergeCell ref="L77:L78"/>
    <mergeCell ref="D75:D76"/>
    <mergeCell ref="E75:E76"/>
    <mergeCell ref="G75:G76"/>
    <mergeCell ref="H75:H76"/>
    <mergeCell ref="I75:I76"/>
    <mergeCell ref="J75:J76"/>
    <mergeCell ref="J67:J68"/>
    <mergeCell ref="K67:K68"/>
    <mergeCell ref="L67:L68"/>
    <mergeCell ref="K69:K70"/>
    <mergeCell ref="L69:L70"/>
    <mergeCell ref="C71:C78"/>
    <mergeCell ref="D71:D72"/>
    <mergeCell ref="E71:E72"/>
    <mergeCell ref="G71:G72"/>
    <mergeCell ref="H71:H72"/>
    <mergeCell ref="I71:I72"/>
    <mergeCell ref="J71:J72"/>
    <mergeCell ref="K71:K72"/>
    <mergeCell ref="D69:D70"/>
    <mergeCell ref="E69:E70"/>
    <mergeCell ref="G69:G70"/>
    <mergeCell ref="H69:H70"/>
    <mergeCell ref="I69:I70"/>
    <mergeCell ref="J69:J70"/>
    <mergeCell ref="L71:L72"/>
    <mergeCell ref="D73:D74"/>
    <mergeCell ref="E73:E74"/>
    <mergeCell ref="G73:G74"/>
    <mergeCell ref="H73:H74"/>
    <mergeCell ref="J63:J64"/>
    <mergeCell ref="K63:K64"/>
    <mergeCell ref="L63:L64"/>
    <mergeCell ref="D65:D66"/>
    <mergeCell ref="E65:E66"/>
    <mergeCell ref="G65:G66"/>
    <mergeCell ref="H65:H66"/>
    <mergeCell ref="I65:I66"/>
    <mergeCell ref="J65:J66"/>
    <mergeCell ref="K65:K66"/>
    <mergeCell ref="L65:L66"/>
    <mergeCell ref="C63:C70"/>
    <mergeCell ref="D63:D64"/>
    <mergeCell ref="E63:E64"/>
    <mergeCell ref="G63:G64"/>
    <mergeCell ref="H63:H64"/>
    <mergeCell ref="I63:I64"/>
    <mergeCell ref="C55:C62"/>
    <mergeCell ref="D61:D62"/>
    <mergeCell ref="E61:E62"/>
    <mergeCell ref="G61:G62"/>
    <mergeCell ref="H61:H62"/>
    <mergeCell ref="D67:D68"/>
    <mergeCell ref="E67:E68"/>
    <mergeCell ref="G67:G68"/>
    <mergeCell ref="H67:H68"/>
    <mergeCell ref="I67:I68"/>
    <mergeCell ref="D59:D60"/>
    <mergeCell ref="E59:E60"/>
    <mergeCell ref="G59:G60"/>
    <mergeCell ref="H59:H60"/>
    <mergeCell ref="I59:I60"/>
    <mergeCell ref="D57:D58"/>
    <mergeCell ref="E57:E58"/>
    <mergeCell ref="G57:G58"/>
    <mergeCell ref="J59:J60"/>
    <mergeCell ref="K59:K60"/>
    <mergeCell ref="L59:L60"/>
    <mergeCell ref="I61:I62"/>
    <mergeCell ref="J61:J62"/>
    <mergeCell ref="K61:K62"/>
    <mergeCell ref="L61:L62"/>
    <mergeCell ref="J55:J56"/>
    <mergeCell ref="K55:K56"/>
    <mergeCell ref="L55:L56"/>
    <mergeCell ref="L57:L58"/>
    <mergeCell ref="H57:H58"/>
    <mergeCell ref="I57:I58"/>
    <mergeCell ref="J57:J58"/>
    <mergeCell ref="K57:K58"/>
    <mergeCell ref="D55:D56"/>
    <mergeCell ref="E55:E56"/>
    <mergeCell ref="G55:G56"/>
    <mergeCell ref="H55:H56"/>
    <mergeCell ref="I55:I56"/>
    <mergeCell ref="I49:I50"/>
    <mergeCell ref="J49:J50"/>
    <mergeCell ref="K49:K50"/>
    <mergeCell ref="L49:L50"/>
    <mergeCell ref="K51:K52"/>
    <mergeCell ref="L51:L52"/>
    <mergeCell ref="D53:D54"/>
    <mergeCell ref="E53:E54"/>
    <mergeCell ref="G53:G54"/>
    <mergeCell ref="H53:H54"/>
    <mergeCell ref="I53:I54"/>
    <mergeCell ref="J53:J54"/>
    <mergeCell ref="K53:K54"/>
    <mergeCell ref="L53:L54"/>
    <mergeCell ref="D51:D52"/>
    <mergeCell ref="E51:E52"/>
    <mergeCell ref="G51:G52"/>
    <mergeCell ref="H51:H52"/>
    <mergeCell ref="I51:I52"/>
    <mergeCell ref="J51:J52"/>
    <mergeCell ref="J43:J44"/>
    <mergeCell ref="K43:K44"/>
    <mergeCell ref="L43:L44"/>
    <mergeCell ref="K45:K46"/>
    <mergeCell ref="L45:L46"/>
    <mergeCell ref="C47:C54"/>
    <mergeCell ref="D47:D48"/>
    <mergeCell ref="E47:E48"/>
    <mergeCell ref="G47:G48"/>
    <mergeCell ref="H47:H48"/>
    <mergeCell ref="I47:I48"/>
    <mergeCell ref="J47:J48"/>
    <mergeCell ref="K47:K48"/>
    <mergeCell ref="D45:D46"/>
    <mergeCell ref="E45:E46"/>
    <mergeCell ref="G45:G46"/>
    <mergeCell ref="H45:H46"/>
    <mergeCell ref="I45:I46"/>
    <mergeCell ref="J45:J46"/>
    <mergeCell ref="L47:L48"/>
    <mergeCell ref="D49:D50"/>
    <mergeCell ref="E49:E50"/>
    <mergeCell ref="G49:G50"/>
    <mergeCell ref="H49:H50"/>
    <mergeCell ref="J39:J40"/>
    <mergeCell ref="K39:K40"/>
    <mergeCell ref="L39:L40"/>
    <mergeCell ref="D41:D42"/>
    <mergeCell ref="E41:E42"/>
    <mergeCell ref="G41:G42"/>
    <mergeCell ref="H41:H42"/>
    <mergeCell ref="I41:I42"/>
    <mergeCell ref="J41:J42"/>
    <mergeCell ref="K41:K42"/>
    <mergeCell ref="L41:L42"/>
    <mergeCell ref="C39:C46"/>
    <mergeCell ref="D39:D40"/>
    <mergeCell ref="E39:E40"/>
    <mergeCell ref="G39:G40"/>
    <mergeCell ref="H39:H40"/>
    <mergeCell ref="I39:I40"/>
    <mergeCell ref="C31:C38"/>
    <mergeCell ref="D37:D38"/>
    <mergeCell ref="E37:E38"/>
    <mergeCell ref="G37:G38"/>
    <mergeCell ref="H37:H38"/>
    <mergeCell ref="D43:D44"/>
    <mergeCell ref="E43:E44"/>
    <mergeCell ref="G43:G44"/>
    <mergeCell ref="H43:H44"/>
    <mergeCell ref="I43:I44"/>
    <mergeCell ref="D35:D36"/>
    <mergeCell ref="E35:E36"/>
    <mergeCell ref="G35:G36"/>
    <mergeCell ref="H35:H36"/>
    <mergeCell ref="I35:I36"/>
    <mergeCell ref="D33:D34"/>
    <mergeCell ref="E33:E34"/>
    <mergeCell ref="G33:G34"/>
    <mergeCell ref="J35:J36"/>
    <mergeCell ref="K35:K36"/>
    <mergeCell ref="L35:L36"/>
    <mergeCell ref="I37:I38"/>
    <mergeCell ref="J37:J38"/>
    <mergeCell ref="K37:K38"/>
    <mergeCell ref="L37:L38"/>
    <mergeCell ref="J31:J32"/>
    <mergeCell ref="K31:K32"/>
    <mergeCell ref="L31:L32"/>
    <mergeCell ref="L33:L34"/>
    <mergeCell ref="H33:H34"/>
    <mergeCell ref="I33:I34"/>
    <mergeCell ref="J33:J34"/>
    <mergeCell ref="K33:K34"/>
    <mergeCell ref="D31:D32"/>
    <mergeCell ref="E31:E32"/>
    <mergeCell ref="G31:G32"/>
    <mergeCell ref="H31:H32"/>
    <mergeCell ref="I31:I32"/>
    <mergeCell ref="I25:I26"/>
    <mergeCell ref="J25:J26"/>
    <mergeCell ref="K25:K26"/>
    <mergeCell ref="L25:L26"/>
    <mergeCell ref="K27:K28"/>
    <mergeCell ref="L27:L28"/>
    <mergeCell ref="D29:D30"/>
    <mergeCell ref="E29:E30"/>
    <mergeCell ref="G29:G30"/>
    <mergeCell ref="H29:H30"/>
    <mergeCell ref="I29:I30"/>
    <mergeCell ref="J29:J30"/>
    <mergeCell ref="K29:K30"/>
    <mergeCell ref="L29:L30"/>
    <mergeCell ref="D27:D28"/>
    <mergeCell ref="E27:E28"/>
    <mergeCell ref="G27:G28"/>
    <mergeCell ref="H27:H28"/>
    <mergeCell ref="I27:I28"/>
    <mergeCell ref="J27:J28"/>
    <mergeCell ref="J19:J20"/>
    <mergeCell ref="K19:K20"/>
    <mergeCell ref="L19:L20"/>
    <mergeCell ref="K21:K22"/>
    <mergeCell ref="L21:L22"/>
    <mergeCell ref="C23:C30"/>
    <mergeCell ref="D23:D24"/>
    <mergeCell ref="E23:E24"/>
    <mergeCell ref="G23:G24"/>
    <mergeCell ref="H23:H24"/>
    <mergeCell ref="I23:I24"/>
    <mergeCell ref="J23:J24"/>
    <mergeCell ref="K23:K24"/>
    <mergeCell ref="D21:D22"/>
    <mergeCell ref="E21:E22"/>
    <mergeCell ref="G21:G22"/>
    <mergeCell ref="H21:H22"/>
    <mergeCell ref="I21:I22"/>
    <mergeCell ref="J21:J22"/>
    <mergeCell ref="L23:L24"/>
    <mergeCell ref="D25:D26"/>
    <mergeCell ref="E25:E26"/>
    <mergeCell ref="G25:G26"/>
    <mergeCell ref="H25:H26"/>
    <mergeCell ref="J15:J16"/>
    <mergeCell ref="K15:K16"/>
    <mergeCell ref="L15:L16"/>
    <mergeCell ref="D17:D18"/>
    <mergeCell ref="E17:E18"/>
    <mergeCell ref="G17:G18"/>
    <mergeCell ref="H17:H18"/>
    <mergeCell ref="I17:I18"/>
    <mergeCell ref="J17:J18"/>
    <mergeCell ref="K17:K18"/>
    <mergeCell ref="L17:L18"/>
    <mergeCell ref="C15:C22"/>
    <mergeCell ref="D15:D16"/>
    <mergeCell ref="E15:E16"/>
    <mergeCell ref="G15:G16"/>
    <mergeCell ref="H15:H16"/>
    <mergeCell ref="I15:I16"/>
    <mergeCell ref="C7:C14"/>
    <mergeCell ref="D13:D14"/>
    <mergeCell ref="E13:E14"/>
    <mergeCell ref="G13:G14"/>
    <mergeCell ref="H13:H14"/>
    <mergeCell ref="D19:D20"/>
    <mergeCell ref="E19:E20"/>
    <mergeCell ref="G19:G20"/>
    <mergeCell ref="H19:H20"/>
    <mergeCell ref="I19:I20"/>
    <mergeCell ref="D11:D12"/>
    <mergeCell ref="E11:E12"/>
    <mergeCell ref="G11:G12"/>
    <mergeCell ref="H11:H12"/>
    <mergeCell ref="I11:I12"/>
    <mergeCell ref="D9:D10"/>
    <mergeCell ref="E9:E10"/>
    <mergeCell ref="G9:G10"/>
    <mergeCell ref="J11:J12"/>
    <mergeCell ref="K11:K12"/>
    <mergeCell ref="L11:L12"/>
    <mergeCell ref="I13:I14"/>
    <mergeCell ref="J13:J14"/>
    <mergeCell ref="K13:K14"/>
    <mergeCell ref="L13:L14"/>
    <mergeCell ref="J7:J8"/>
    <mergeCell ref="K7:K8"/>
    <mergeCell ref="L7:L8"/>
    <mergeCell ref="L9:L10"/>
    <mergeCell ref="H9:H10"/>
    <mergeCell ref="I9:I10"/>
    <mergeCell ref="J9:J10"/>
    <mergeCell ref="K9:K10"/>
    <mergeCell ref="D7:D8"/>
    <mergeCell ref="E7:E8"/>
    <mergeCell ref="G7:G8"/>
    <mergeCell ref="H7:H8"/>
    <mergeCell ref="I7:I8"/>
  </mergeCells>
  <conditionalFormatting sqref="C7:C86 E7:I86 L7:L86">
    <cfRule type="expression" dxfId="68" priority="54">
      <formula>$B7=5</formula>
    </cfRule>
    <cfRule type="expression" dxfId="67" priority="53">
      <formula>$B7=4</formula>
    </cfRule>
    <cfRule type="expression" dxfId="66" priority="52">
      <formula>$B7=3</formula>
    </cfRule>
    <cfRule type="expression" dxfId="65" priority="51">
      <formula>$B7=2</formula>
    </cfRule>
    <cfRule type="expression" dxfId="64" priority="50">
      <formula>$B7=1</formula>
    </cfRule>
    <cfRule type="expression" dxfId="63" priority="55">
      <formula>$B7=6</formula>
    </cfRule>
    <cfRule type="expression" dxfId="62" priority="56">
      <formula>$B7=7</formula>
    </cfRule>
    <cfRule type="expression" dxfId="61" priority="57">
      <formula>$B7=8</formula>
    </cfRule>
    <cfRule type="expression" dxfId="60" priority="58">
      <formula>$B7=9</formula>
    </cfRule>
    <cfRule type="expression" dxfId="59" priority="59">
      <formula>$B7=10</formula>
    </cfRule>
  </conditionalFormatting>
  <conditionalFormatting sqref="L87">
    <cfRule type="iconSet" priority="6842">
      <iconSet iconSet="3Symbols2" showValue="0" reverse="1">
        <cfvo type="percent" val="0"/>
        <cfvo type="num" val="1.25"/>
        <cfvo type="num" val="2.25"/>
      </iconSet>
    </cfRule>
  </conditionalFormatting>
  <conditionalFormatting sqref="N7:N86">
    <cfRule type="expression" dxfId="58" priority="48">
      <formula>$B7=9</formula>
    </cfRule>
    <cfRule type="expression" dxfId="57" priority="47">
      <formula>$B7=8</formula>
    </cfRule>
    <cfRule type="expression" dxfId="56" priority="46">
      <formula>$B7=7</formula>
    </cfRule>
    <cfRule type="expression" dxfId="55" priority="45">
      <formula>$B7=6</formula>
    </cfRule>
    <cfRule type="expression" dxfId="54" priority="44">
      <formula>$B7=5</formula>
    </cfRule>
    <cfRule type="expression" dxfId="53" priority="43">
      <formula>$B7=4</formula>
    </cfRule>
    <cfRule type="expression" dxfId="52" priority="41">
      <formula>$B7=2</formula>
    </cfRule>
    <cfRule type="expression" dxfId="51" priority="40">
      <formula>$B7=1</formula>
    </cfRule>
    <cfRule type="expression" dxfId="50" priority="42">
      <formula>$B7=3</formula>
    </cfRule>
    <cfRule type="expression" dxfId="49" priority="49">
      <formula>$B7=10</formula>
    </cfRule>
  </conditionalFormatting>
  <conditionalFormatting sqref="P7:P86">
    <cfRule type="expression" dxfId="48" priority="33">
      <formula>$B7=8</formula>
    </cfRule>
    <cfRule type="expression" dxfId="47" priority="34">
      <formula>$B7=9</formula>
    </cfRule>
    <cfRule type="expression" dxfId="46" priority="35">
      <formula>$B7=10</formula>
    </cfRule>
    <cfRule type="expression" dxfId="45" priority="30">
      <formula>$B7=5</formula>
    </cfRule>
    <cfRule type="expression" dxfId="44" priority="26">
      <formula>$B7=1</formula>
    </cfRule>
    <cfRule type="expression" dxfId="43" priority="27">
      <formula>$B7=2</formula>
    </cfRule>
    <cfRule type="expression" dxfId="42" priority="28">
      <formula>$B7=3</formula>
    </cfRule>
    <cfRule type="expression" dxfId="41" priority="29">
      <formula>$B7=4</formula>
    </cfRule>
    <cfRule type="expression" dxfId="40" priority="31">
      <formula>$B7=6</formula>
    </cfRule>
    <cfRule type="expression" dxfId="39" priority="32">
      <formula>$B7=7</formula>
    </cfRule>
  </conditionalFormatting>
  <conditionalFormatting sqref="Q7:Q86">
    <cfRule type="expression" dxfId="38" priority="23">
      <formula>Q7=3</formula>
    </cfRule>
    <cfRule type="expression" dxfId="37" priority="25">
      <formula>Q7=1</formula>
    </cfRule>
    <cfRule type="expression" dxfId="36" priority="24">
      <formula>Q7=2</formula>
    </cfRule>
  </conditionalFormatting>
  <conditionalFormatting sqref="R7:U86">
    <cfRule type="expression" dxfId="35" priority="12">
      <formula>$B7=10</formula>
    </cfRule>
    <cfRule type="expression" dxfId="34" priority="11">
      <formula>$B7=9</formula>
    </cfRule>
    <cfRule type="expression" dxfId="33" priority="10">
      <formula>$B7=8</formula>
    </cfRule>
    <cfRule type="expression" dxfId="32" priority="9">
      <formula>$B7=7</formula>
    </cfRule>
    <cfRule type="expression" dxfId="31" priority="8">
      <formula>$B7=6</formula>
    </cfRule>
    <cfRule type="expression" dxfId="30" priority="6">
      <formula>$B7=4</formula>
    </cfRule>
    <cfRule type="expression" dxfId="29" priority="5">
      <formula>$B7=3</formula>
    </cfRule>
    <cfRule type="expression" dxfId="28" priority="4">
      <formula>$B7=2</formula>
    </cfRule>
    <cfRule type="expression" dxfId="27" priority="3">
      <formula>$B7=1</formula>
    </cfRule>
    <cfRule type="expression" dxfId="26" priority="7">
      <formula>$B7=5</formula>
    </cfRule>
  </conditionalFormatting>
  <conditionalFormatting sqref="T7:T86">
    <cfRule type="expression" dxfId="25" priority="1">
      <formula>AND(R7&lt;&gt;"",U7&lt;&gt;1,T7&lt;=TODAY())</formula>
    </cfRule>
    <cfRule type="expression" dxfId="24" priority="2">
      <formula>AND(R7&lt;&gt;"",U7&lt;&gt;1,T7&lt;=TODAY()+7)</formula>
    </cfRule>
  </conditionalFormatting>
  <conditionalFormatting sqref="U6">
    <cfRule type="iconSet" priority="37">
      <iconSet iconSet="3Symbols2" showValue="0" reverse="1">
        <cfvo type="percent" val="0"/>
        <cfvo type="num" val="1.25"/>
        <cfvo type="num" val="2.25"/>
      </iconSet>
    </cfRule>
  </conditionalFormatting>
  <conditionalFormatting sqref="U7:U86">
    <cfRule type="iconSet" priority="36">
      <iconSet iconSet="3Symbols2" showValue="0" reverse="1">
        <cfvo type="percent" val="0"/>
        <cfvo type="num" val="1.25"/>
        <cfvo type="num" val="2.25"/>
      </iconSet>
    </cfRule>
  </conditionalFormatting>
  <conditionalFormatting sqref="U87">
    <cfRule type="iconSet" priority="38">
      <iconSet iconSet="3Symbols2" showValue="0" reverse="1">
        <cfvo type="percent" val="0"/>
        <cfvo type="num" val="1.25"/>
        <cfvo type="num" val="2.25"/>
      </iconSet>
    </cfRule>
    <cfRule type="iconSet" priority="39">
      <iconSet iconSet="3Symbols2" showValue="0" reverse="1">
        <cfvo type="percent" val="0"/>
        <cfvo type="num" val="1.25"/>
        <cfvo type="num" val="2.25"/>
      </iconSet>
    </cfRule>
  </conditionalFormatting>
  <dataValidations count="3">
    <dataValidation type="list" errorStyle="warning" allowBlank="1" showInputMessage="1" showErrorMessage="1" sqref="J7:K86" xr:uid="{00000000-0002-0000-0700-000000000000}">
      <formula1>"0%,10%,20%,30%,40%,50%,60%,70%,80%,90%,100%"</formula1>
    </dataValidation>
    <dataValidation type="list" allowBlank="1" showInputMessage="1" showErrorMessage="1" sqref="Q7:Q86" xr:uid="{00000000-0002-0000-0700-000001000000}">
      <formula1>"1,2,3"</formula1>
    </dataValidation>
    <dataValidation type="list" showInputMessage="1" showErrorMessage="1" sqref="U7:U86" xr:uid="{00000000-0002-0000-0700-000002000000}">
      <formula1>"1,2,3"</formula1>
    </dataValidation>
  </dataValidations>
  <hyperlinks>
    <hyperlink ref="F7" location="_s1" display="_s1" xr:uid="{00000000-0004-0000-0700-000000000000}"/>
    <hyperlink ref="F9" location="_s2" display="_s2" xr:uid="{00000000-0004-0000-0700-000001000000}"/>
    <hyperlink ref="F11" location="_s3" display="_s3" xr:uid="{00000000-0004-0000-0700-000002000000}"/>
    <hyperlink ref="F13" location="_s4" display="_s4" xr:uid="{00000000-0004-0000-0700-000003000000}"/>
    <hyperlink ref="F15" location="_s5" display="_s5" xr:uid="{00000000-0004-0000-0700-000004000000}"/>
    <hyperlink ref="F17" location="_s6" display="_s6" xr:uid="{00000000-0004-0000-0700-000005000000}"/>
    <hyperlink ref="F19" location="_s7" display="_s7" xr:uid="{00000000-0004-0000-0700-000006000000}"/>
    <hyperlink ref="F21" location="_s8" display="_s8" xr:uid="{00000000-0004-0000-0700-000007000000}"/>
    <hyperlink ref="F23" location="_s9" display="_s9" xr:uid="{00000000-0004-0000-0700-000008000000}"/>
    <hyperlink ref="F25" location="_s10" display="_s10" xr:uid="{00000000-0004-0000-0700-000009000000}"/>
    <hyperlink ref="F27" location="_s11" display="_s11" xr:uid="{00000000-0004-0000-0700-00000A000000}"/>
    <hyperlink ref="F29" location="_s12" display="_s12" xr:uid="{00000000-0004-0000-0700-00000B000000}"/>
    <hyperlink ref="F31" location="_s13" display="_s13" xr:uid="{00000000-0004-0000-0700-00000C000000}"/>
    <hyperlink ref="F33" location="_s14" display="_s14" xr:uid="{00000000-0004-0000-0700-00000D000000}"/>
    <hyperlink ref="F35" location="_s15" display="_s15" xr:uid="{00000000-0004-0000-0700-00000E000000}"/>
    <hyperlink ref="F37" location="_s16" display="_s16" xr:uid="{00000000-0004-0000-0700-00000F000000}"/>
    <hyperlink ref="F39" location="_s17" display="_s17" xr:uid="{00000000-0004-0000-0700-000010000000}"/>
    <hyperlink ref="F41" location="_s18" display="_s18" xr:uid="{00000000-0004-0000-0700-000011000000}"/>
    <hyperlink ref="F43" location="_s19" display="_s19" xr:uid="{00000000-0004-0000-0700-000012000000}"/>
    <hyperlink ref="F45" location="_s20" display="_s20" xr:uid="{00000000-0004-0000-0700-000013000000}"/>
    <hyperlink ref="F47" location="_s21" display="_s21" xr:uid="{00000000-0004-0000-0700-000014000000}"/>
    <hyperlink ref="F49" location="_s22" display="_s22" xr:uid="{00000000-0004-0000-0700-000015000000}"/>
    <hyperlink ref="F51" location="_s23" display="_s23" xr:uid="{00000000-0004-0000-0700-000016000000}"/>
    <hyperlink ref="F53" location="_s24" display="_s24" xr:uid="{00000000-0004-0000-0700-000017000000}"/>
    <hyperlink ref="F55" location="_s25" display="_s25" xr:uid="{00000000-0004-0000-0700-000018000000}"/>
    <hyperlink ref="F57" location="_s26" display="_s26" xr:uid="{00000000-0004-0000-0700-000019000000}"/>
    <hyperlink ref="F59" location="_s27" display="_s27" xr:uid="{00000000-0004-0000-0700-00001A000000}"/>
    <hyperlink ref="F61" location="_s28" display="_s28" xr:uid="{00000000-0004-0000-0700-00001B000000}"/>
    <hyperlink ref="F63" location="_s29" display="_s29" xr:uid="{00000000-0004-0000-0700-00001C000000}"/>
    <hyperlink ref="F65" location="_s30" display="_s30" xr:uid="{00000000-0004-0000-0700-00001D000000}"/>
    <hyperlink ref="F67" location="_s31" display="_s31" xr:uid="{00000000-0004-0000-0700-00001E000000}"/>
    <hyperlink ref="F69" location="_s32" display="_s32" xr:uid="{00000000-0004-0000-0700-00001F000000}"/>
    <hyperlink ref="F71" location="_s33" display="_s33" xr:uid="{00000000-0004-0000-0700-000020000000}"/>
    <hyperlink ref="F73" location="_s34" display="_s34" xr:uid="{00000000-0004-0000-0700-000021000000}"/>
    <hyperlink ref="F75" location="_s35" display="_s35" xr:uid="{00000000-0004-0000-0700-000022000000}"/>
    <hyperlink ref="F77" location="_s36" display="_s36" xr:uid="{00000000-0004-0000-0700-000023000000}"/>
    <hyperlink ref="F79" location="_s37" display="_s37" xr:uid="{00000000-0004-0000-0700-000024000000}"/>
    <hyperlink ref="F81" location="_s38" display="_s38" xr:uid="{00000000-0004-0000-0700-000025000000}"/>
    <hyperlink ref="F83" location="_s39" display="_s39" xr:uid="{00000000-0004-0000-0700-000026000000}"/>
    <hyperlink ref="F85" location="_s40" display="_s40" xr:uid="{00000000-0004-0000-0700-000027000000}"/>
    <hyperlink ref="Q7" location="__o1" display="__o1" xr:uid="{00000000-0004-0000-0700-000028000000}"/>
    <hyperlink ref="Q9" location="__o3" display="__o3" xr:uid="{00000000-0004-0000-0700-000029000000}"/>
    <hyperlink ref="Q11" location="__o5" display="__o5" xr:uid="{00000000-0004-0000-0700-00002A000000}"/>
    <hyperlink ref="Q13" location="__o7" display="__o7" xr:uid="{00000000-0004-0000-0700-00002B000000}"/>
    <hyperlink ref="Q10" location="__o4" display="__o4" xr:uid="{00000000-0004-0000-0700-00002C000000}"/>
    <hyperlink ref="Q12" location="__o6" display="__o6" xr:uid="{00000000-0004-0000-0700-00002D000000}"/>
    <hyperlink ref="Q14" location="__o8" display="__o8" xr:uid="{00000000-0004-0000-0700-00002E000000}"/>
    <hyperlink ref="Q8" location="__o2" display="__o2" xr:uid="{00000000-0004-0000-0700-00002F000000}"/>
    <hyperlink ref="Q15" location="__o9" display="__o9" xr:uid="{00000000-0004-0000-0700-000030000000}"/>
    <hyperlink ref="Q17" location="__11" display="__11" xr:uid="{00000000-0004-0000-0700-000031000000}"/>
    <hyperlink ref="Q19" location="__13" display="__13" xr:uid="{00000000-0004-0000-0700-000032000000}"/>
    <hyperlink ref="Q21" location="__15" display="__15" xr:uid="{00000000-0004-0000-0700-000033000000}"/>
    <hyperlink ref="Q18" location="__12" display="__12" xr:uid="{00000000-0004-0000-0700-000034000000}"/>
    <hyperlink ref="Q20" location="__14" display="__14" xr:uid="{00000000-0004-0000-0700-000035000000}"/>
    <hyperlink ref="Q22" location="__16" display="__16" xr:uid="{00000000-0004-0000-0700-000036000000}"/>
    <hyperlink ref="Q16" location="__10" display="__10" xr:uid="{00000000-0004-0000-0700-000037000000}"/>
    <hyperlink ref="Q23" location="__17" display="__17" xr:uid="{00000000-0004-0000-0700-000038000000}"/>
    <hyperlink ref="Q24" location="__18" display="__18" xr:uid="{00000000-0004-0000-0700-000039000000}"/>
    <hyperlink ref="Q25" location="__19" display="__19" xr:uid="{00000000-0004-0000-0700-00003A000000}"/>
    <hyperlink ref="Q26" location="__20" display="__20" xr:uid="{00000000-0004-0000-0700-00003B000000}"/>
    <hyperlink ref="Q27" location="__21" display="__21" xr:uid="{00000000-0004-0000-0700-00003C000000}"/>
    <hyperlink ref="Q28" location="__22" display="__22" xr:uid="{00000000-0004-0000-0700-00003D000000}"/>
    <hyperlink ref="Q29" location="__23" display="__23" xr:uid="{00000000-0004-0000-0700-00003E000000}"/>
    <hyperlink ref="Q30" location="__24" display="__24" xr:uid="{00000000-0004-0000-0700-00003F000000}"/>
    <hyperlink ref="Q31" location="__25" display="__25" xr:uid="{00000000-0004-0000-0700-000040000000}"/>
    <hyperlink ref="Q32" location="__26" display="__26" xr:uid="{00000000-0004-0000-0700-000041000000}"/>
    <hyperlink ref="Q33" location="__27" display="__27" xr:uid="{00000000-0004-0000-0700-000042000000}"/>
    <hyperlink ref="Q34" location="__28" display="__28" xr:uid="{00000000-0004-0000-0700-000043000000}"/>
    <hyperlink ref="Q35" location="__29" display="__29" xr:uid="{00000000-0004-0000-0700-000044000000}"/>
    <hyperlink ref="Q36" location="__30" display="__30" xr:uid="{00000000-0004-0000-0700-000045000000}"/>
    <hyperlink ref="Q37" location="__31" display="__31" xr:uid="{00000000-0004-0000-0700-000046000000}"/>
    <hyperlink ref="Q38" location="__32" display="__32" xr:uid="{00000000-0004-0000-0700-000047000000}"/>
    <hyperlink ref="Q39" location="__33" display="__33" xr:uid="{00000000-0004-0000-0700-000048000000}"/>
    <hyperlink ref="Q40" location="__34" display="__34" xr:uid="{00000000-0004-0000-0700-000049000000}"/>
    <hyperlink ref="Q41" location="__35" display="__35" xr:uid="{00000000-0004-0000-0700-00004A000000}"/>
    <hyperlink ref="Q42" location="__36" display="__36" xr:uid="{00000000-0004-0000-0700-00004B000000}"/>
    <hyperlink ref="Q43" location="__37" display="__37" xr:uid="{00000000-0004-0000-0700-00004C000000}"/>
    <hyperlink ref="Q44" location="__38" display="__38" xr:uid="{00000000-0004-0000-0700-00004D000000}"/>
    <hyperlink ref="Q45" location="__39" display="__39" xr:uid="{00000000-0004-0000-0700-00004E000000}"/>
    <hyperlink ref="Q46" location="__40" display="__40" xr:uid="{00000000-0004-0000-0700-00004F000000}"/>
    <hyperlink ref="Q47" location="__41" display="__41" xr:uid="{00000000-0004-0000-0700-000050000000}"/>
    <hyperlink ref="Q48" location="__42" display="__42" xr:uid="{00000000-0004-0000-0700-000051000000}"/>
    <hyperlink ref="Q49" location="__43" display="__43" xr:uid="{00000000-0004-0000-0700-000052000000}"/>
    <hyperlink ref="Q50" location="__44" display="__44" xr:uid="{00000000-0004-0000-0700-000053000000}"/>
    <hyperlink ref="Q51" location="__45" display="__45" xr:uid="{00000000-0004-0000-0700-000054000000}"/>
    <hyperlink ref="Q52" location="__46" display="__46" xr:uid="{00000000-0004-0000-0700-000055000000}"/>
    <hyperlink ref="Q53" location="__47" display="__47" xr:uid="{00000000-0004-0000-0700-000056000000}"/>
    <hyperlink ref="Q54" location="__48" display="__48" xr:uid="{00000000-0004-0000-0700-000057000000}"/>
    <hyperlink ref="Q55" location="__49" display="__49" xr:uid="{00000000-0004-0000-0700-000058000000}"/>
    <hyperlink ref="Q56" location="__50" display="__50" xr:uid="{00000000-0004-0000-0700-000059000000}"/>
    <hyperlink ref="Q57" location="__51" display="__51" xr:uid="{00000000-0004-0000-0700-00005A000000}"/>
    <hyperlink ref="Q58" location="__52" display="__52" xr:uid="{00000000-0004-0000-0700-00005B000000}"/>
    <hyperlink ref="Q59" location="__53" display="__53" xr:uid="{00000000-0004-0000-0700-00005C000000}"/>
    <hyperlink ref="Q60" location="__54" display="__54" xr:uid="{00000000-0004-0000-0700-00005D000000}"/>
    <hyperlink ref="Q61" location="__55" display="__55" xr:uid="{00000000-0004-0000-0700-00005E000000}"/>
    <hyperlink ref="Q62" location="__56" display="__56" xr:uid="{00000000-0004-0000-0700-00005F000000}"/>
    <hyperlink ref="Q63" location="__57" display="__57" xr:uid="{00000000-0004-0000-0700-000060000000}"/>
    <hyperlink ref="Q64" location="__58" display="__58" xr:uid="{00000000-0004-0000-0700-000061000000}"/>
    <hyperlink ref="Q65" location="__59" display="__59" xr:uid="{00000000-0004-0000-0700-000062000000}"/>
    <hyperlink ref="Q66" location="__60" display="__60" xr:uid="{00000000-0004-0000-0700-000063000000}"/>
    <hyperlink ref="Q67" location="__61" display="__61" xr:uid="{00000000-0004-0000-0700-000064000000}"/>
    <hyperlink ref="Q68" location="__62" display="__62" xr:uid="{00000000-0004-0000-0700-000065000000}"/>
    <hyperlink ref="Q69" location="__63" display="__63" xr:uid="{00000000-0004-0000-0700-000066000000}"/>
    <hyperlink ref="Q70" location="__64" display="__64" xr:uid="{00000000-0004-0000-0700-000067000000}"/>
    <hyperlink ref="Q71" location="__65" display="__65" xr:uid="{00000000-0004-0000-0700-000068000000}"/>
    <hyperlink ref="Q72" location="__66" display="__66" xr:uid="{00000000-0004-0000-0700-000069000000}"/>
    <hyperlink ref="Q73" location="__67" display="__67" xr:uid="{00000000-0004-0000-0700-00006A000000}"/>
    <hyperlink ref="Q74" location="__68" display="__68" xr:uid="{00000000-0004-0000-0700-00006B000000}"/>
    <hyperlink ref="Q75" location="__69" display="__69" xr:uid="{00000000-0004-0000-0700-00006C000000}"/>
    <hyperlink ref="Q76" location="__70" display="__70" xr:uid="{00000000-0004-0000-0700-00006D000000}"/>
    <hyperlink ref="Q77" location="__71" display="__71" xr:uid="{00000000-0004-0000-0700-00006E000000}"/>
    <hyperlink ref="Q78" location="__72" display="__72" xr:uid="{00000000-0004-0000-0700-00006F000000}"/>
    <hyperlink ref="Q79" location="__73" display="__73" xr:uid="{00000000-0004-0000-0700-000070000000}"/>
    <hyperlink ref="Q80" location="__74" display="__74" xr:uid="{00000000-0004-0000-0700-000071000000}"/>
    <hyperlink ref="Q81" location="__75" display="__75" xr:uid="{00000000-0004-0000-0700-000072000000}"/>
    <hyperlink ref="Q82" location="__76" display="__76" xr:uid="{00000000-0004-0000-0700-000073000000}"/>
    <hyperlink ref="Q83" location="__77" display="__77" xr:uid="{00000000-0004-0000-0700-000074000000}"/>
    <hyperlink ref="Q84" location="__78" display="__78" xr:uid="{00000000-0004-0000-0700-000075000000}"/>
    <hyperlink ref="Q85" location="__79" display="__79" xr:uid="{00000000-0004-0000-0700-000076000000}"/>
    <hyperlink ref="Q86" location="__80" display="__80" xr:uid="{00000000-0004-0000-0700-000077000000}"/>
  </hyperlinks>
  <pageMargins left="0.19685039370078741" right="0.19685039370078741" top="0.31496062992125984" bottom="0.43307086614173229" header="0" footer="0.19685039370078741"/>
  <pageSetup paperSize="9" scale="65" fitToHeight="2" orientation="landscape" r:id="rId1"/>
  <headerFooter>
    <oddFooter>&amp;L&amp;8(c) S. Imboden&amp;C&amp;8gedruckt am &amp;D&amp;R&amp;8&amp;P/&amp;N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0" id="{18C64BCD-C1FD-4919-8DC8-FB14C5D648D8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L7:L86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53">
    <tabColor theme="6" tint="0.39997558519241921"/>
    <pageSetUpPr fitToPage="1"/>
  </sheetPr>
  <dimension ref="A1:W93"/>
  <sheetViews>
    <sheetView showGridLines="0" zoomScaleNormal="100" workbookViewId="0">
      <pane ySplit="4" topLeftCell="A5" activePane="bottomLeft" state="frozen"/>
      <selection activeCell="T14" sqref="T14"/>
      <selection pane="bottomLeft" activeCell="C5" sqref="C5"/>
    </sheetView>
  </sheetViews>
  <sheetFormatPr baseColWidth="10" defaultColWidth="12.5546875" defaultRowHeight="14.4" x14ac:dyDescent="0.3"/>
  <cols>
    <col min="1" max="1" width="9.109375" customWidth="1"/>
    <col min="2" max="2" width="4.5546875" style="10" customWidth="1"/>
    <col min="3" max="3" width="29" style="10" customWidth="1"/>
    <col min="4" max="4" width="10.6640625" style="10" customWidth="1"/>
    <col min="5" max="5" width="11.88671875" style="10" bestFit="1" customWidth="1"/>
    <col min="6" max="6" width="8.5546875" style="10" customWidth="1"/>
    <col min="7" max="7" width="29.44140625" style="10" customWidth="1"/>
    <col min="8" max="8" width="33.6640625" style="10" customWidth="1"/>
    <col min="9" max="9" width="7" style="10" customWidth="1"/>
    <col min="10" max="10" width="4.88671875" style="202" customWidth="1"/>
    <col min="11" max="18" width="4" style="10" customWidth="1"/>
    <col min="19" max="16384" width="12.5546875" style="10"/>
  </cols>
  <sheetData>
    <row r="1" spans="1:23" s="1" customFormat="1" ht="43.95" customHeight="1" x14ac:dyDescent="0.3">
      <c r="A1" s="19"/>
      <c r="B1" s="5" t="str">
        <f ca="1">' '!A131</f>
        <v>G R O U P E   C I B L E</v>
      </c>
      <c r="C1" s="5"/>
      <c r="D1" s="5"/>
      <c r="E1" s="5"/>
      <c r="F1" s="5"/>
      <c r="G1" s="5"/>
      <c r="H1" s="5"/>
      <c r="I1" s="141"/>
      <c r="J1" s="201"/>
    </row>
    <row r="2" spans="1:23" customFormat="1" ht="22.5" customHeight="1" x14ac:dyDescent="0.3">
      <c r="A2" s="13"/>
      <c r="B2" s="82"/>
      <c r="J2" s="41"/>
    </row>
    <row r="3" spans="1:23" ht="9" customHeight="1" x14ac:dyDescent="0.3">
      <c r="A3" s="42"/>
      <c r="C3"/>
    </row>
    <row r="4" spans="1:23" ht="33.75" customHeight="1" x14ac:dyDescent="0.3">
      <c r="B4" s="198" t="str">
        <f ca="1">' '!A60</f>
        <v>No.</v>
      </c>
      <c r="C4" s="199" t="str">
        <f ca="1">' '!A132</f>
        <v>Groupe cible</v>
      </c>
      <c r="D4" s="199" t="str">
        <f ca="1">' '!A136</f>
        <v>Itensité com.</v>
      </c>
      <c r="E4" s="199" t="str">
        <f ca="1">' '!A137</f>
        <v>Besoins en com.</v>
      </c>
      <c r="F4" s="199" t="str">
        <f ca="1">' '!A138</f>
        <v>Taille</v>
      </c>
      <c r="G4" s="199" t="str">
        <f ca="1">' '!A133</f>
        <v>Message clé</v>
      </c>
      <c r="H4" s="199" t="str">
        <f ca="1">' '!A140</f>
        <v>Effets attendus</v>
      </c>
      <c r="I4" s="200" t="str">
        <f ca="1">' '!A67</f>
        <v>Statut</v>
      </c>
      <c r="T4" s="45"/>
      <c r="W4" s="45"/>
    </row>
    <row r="5" spans="1:23" ht="23.4" x14ac:dyDescent="0.3">
      <c r="B5" s="195" t="s">
        <v>699</v>
      </c>
      <c r="C5" s="211" t="s">
        <v>697</v>
      </c>
      <c r="D5" s="196">
        <v>3</v>
      </c>
      <c r="E5" s="196">
        <v>3</v>
      </c>
      <c r="F5" s="378">
        <v>2</v>
      </c>
      <c r="G5" s="214"/>
      <c r="H5" s="211"/>
      <c r="I5" s="197">
        <v>1</v>
      </c>
      <c r="J5" s="154">
        <f>IF(F5=3,3,
IF(F5=2,2,1))</f>
        <v>2</v>
      </c>
      <c r="T5" s="45"/>
      <c r="W5" s="45"/>
    </row>
    <row r="6" spans="1:23" ht="23.4" x14ac:dyDescent="0.3">
      <c r="B6" s="195" t="s">
        <v>700</v>
      </c>
      <c r="C6" s="211" t="s">
        <v>698</v>
      </c>
      <c r="D6" s="196">
        <v>8</v>
      </c>
      <c r="E6" s="196">
        <v>6</v>
      </c>
      <c r="F6" s="378">
        <v>1</v>
      </c>
      <c r="G6" s="211"/>
      <c r="H6" s="211"/>
      <c r="I6" s="197"/>
      <c r="J6" s="154">
        <f t="shared" ref="J6:J24" si="0">IF(F6=3,3,
IF(F6=2,2,1))</f>
        <v>1</v>
      </c>
      <c r="T6" s="45"/>
      <c r="W6" s="45"/>
    </row>
    <row r="7" spans="1:23" ht="23.4" x14ac:dyDescent="0.3">
      <c r="B7" s="195" t="s">
        <v>701</v>
      </c>
      <c r="C7" s="211"/>
      <c r="D7" s="196"/>
      <c r="E7" s="196"/>
      <c r="F7" s="378"/>
      <c r="G7" s="214"/>
      <c r="H7" s="211"/>
      <c r="I7" s="197"/>
      <c r="J7" s="154">
        <f t="shared" si="0"/>
        <v>1</v>
      </c>
      <c r="T7" s="45"/>
      <c r="W7" s="45"/>
    </row>
    <row r="8" spans="1:23" ht="23.4" x14ac:dyDescent="0.3">
      <c r="B8" s="195" t="s">
        <v>702</v>
      </c>
      <c r="C8" s="211"/>
      <c r="D8" s="196"/>
      <c r="E8" s="196"/>
      <c r="F8" s="378"/>
      <c r="G8" s="211"/>
      <c r="H8" s="211"/>
      <c r="I8" s="197"/>
      <c r="J8" s="154">
        <f t="shared" si="0"/>
        <v>1</v>
      </c>
      <c r="T8" s="45"/>
      <c r="W8" s="45"/>
    </row>
    <row r="9" spans="1:23" ht="23.4" x14ac:dyDescent="0.3">
      <c r="B9" s="195" t="s">
        <v>703</v>
      </c>
      <c r="C9" s="211"/>
      <c r="D9" s="196"/>
      <c r="E9" s="196"/>
      <c r="F9" s="378"/>
      <c r="G9" s="214"/>
      <c r="H9" s="211"/>
      <c r="I9" s="197"/>
      <c r="J9" s="154">
        <f t="shared" si="0"/>
        <v>1</v>
      </c>
      <c r="T9" s="45"/>
      <c r="W9" s="45"/>
    </row>
    <row r="10" spans="1:23" ht="23.4" x14ac:dyDescent="0.3">
      <c r="B10" s="195" t="s">
        <v>704</v>
      </c>
      <c r="C10" s="211"/>
      <c r="D10" s="196"/>
      <c r="E10" s="196"/>
      <c r="F10" s="378"/>
      <c r="G10" s="211"/>
      <c r="H10" s="211"/>
      <c r="I10" s="197"/>
      <c r="J10" s="154">
        <f t="shared" si="0"/>
        <v>1</v>
      </c>
      <c r="T10" s="45"/>
      <c r="W10" s="45"/>
    </row>
    <row r="11" spans="1:23" ht="23.4" x14ac:dyDescent="0.3">
      <c r="B11" s="195" t="s">
        <v>705</v>
      </c>
      <c r="C11" s="211"/>
      <c r="D11" s="196"/>
      <c r="E11" s="196"/>
      <c r="F11" s="378"/>
      <c r="G11" s="214"/>
      <c r="H11" s="211"/>
      <c r="I11" s="197"/>
      <c r="J11" s="154">
        <f t="shared" si="0"/>
        <v>1</v>
      </c>
      <c r="T11" s="45"/>
      <c r="W11" s="45"/>
    </row>
    <row r="12" spans="1:23" ht="23.4" x14ac:dyDescent="0.3">
      <c r="B12" s="195" t="s">
        <v>706</v>
      </c>
      <c r="C12" s="211"/>
      <c r="D12" s="196"/>
      <c r="E12" s="196"/>
      <c r="F12" s="378"/>
      <c r="G12" s="211"/>
      <c r="H12" s="211"/>
      <c r="I12" s="197"/>
      <c r="J12" s="154">
        <f t="shared" si="0"/>
        <v>1</v>
      </c>
      <c r="T12" s="45"/>
      <c r="W12" s="45"/>
    </row>
    <row r="13" spans="1:23" ht="23.4" x14ac:dyDescent="0.3">
      <c r="B13" s="195" t="s">
        <v>707</v>
      </c>
      <c r="C13" s="211"/>
      <c r="D13" s="196"/>
      <c r="E13" s="196"/>
      <c r="F13" s="378"/>
      <c r="G13" s="214"/>
      <c r="H13" s="211"/>
      <c r="I13" s="197"/>
      <c r="J13" s="154">
        <f t="shared" si="0"/>
        <v>1</v>
      </c>
      <c r="T13" s="45"/>
      <c r="W13" s="45"/>
    </row>
    <row r="14" spans="1:23" ht="23.4" x14ac:dyDescent="0.3">
      <c r="B14" s="195" t="s">
        <v>708</v>
      </c>
      <c r="C14" s="211"/>
      <c r="D14" s="196"/>
      <c r="E14" s="196"/>
      <c r="F14" s="378"/>
      <c r="G14" s="211"/>
      <c r="H14" s="211"/>
      <c r="I14" s="197"/>
      <c r="J14" s="154">
        <f t="shared" si="0"/>
        <v>1</v>
      </c>
      <c r="T14" s="45"/>
      <c r="W14" s="45"/>
    </row>
    <row r="15" spans="1:23" ht="23.4" x14ac:dyDescent="0.3">
      <c r="B15" s="195" t="s">
        <v>709</v>
      </c>
      <c r="C15" s="211"/>
      <c r="D15" s="196"/>
      <c r="E15" s="196"/>
      <c r="F15" s="378"/>
      <c r="G15" s="214"/>
      <c r="H15" s="211"/>
      <c r="I15" s="197"/>
      <c r="J15" s="154">
        <f t="shared" si="0"/>
        <v>1</v>
      </c>
      <c r="T15" s="45"/>
      <c r="W15" s="45"/>
    </row>
    <row r="16" spans="1:23" ht="23.4" x14ac:dyDescent="0.3">
      <c r="B16" s="195" t="s">
        <v>710</v>
      </c>
      <c r="C16" s="211"/>
      <c r="D16" s="196"/>
      <c r="E16" s="196"/>
      <c r="F16" s="378"/>
      <c r="G16" s="211"/>
      <c r="H16" s="211"/>
      <c r="I16" s="197"/>
      <c r="J16" s="154">
        <f t="shared" si="0"/>
        <v>1</v>
      </c>
      <c r="T16" s="45"/>
      <c r="W16" s="45"/>
    </row>
    <row r="17" spans="2:10" ht="23.4" x14ac:dyDescent="0.3">
      <c r="B17" s="195" t="s">
        <v>711</v>
      </c>
      <c r="C17" s="211"/>
      <c r="D17" s="196"/>
      <c r="E17" s="196"/>
      <c r="F17" s="378"/>
      <c r="G17" s="214"/>
      <c r="H17" s="211"/>
      <c r="I17" s="197"/>
      <c r="J17" s="154">
        <f t="shared" si="0"/>
        <v>1</v>
      </c>
    </row>
    <row r="18" spans="2:10" ht="23.4" x14ac:dyDescent="0.3">
      <c r="B18" s="195" t="s">
        <v>712</v>
      </c>
      <c r="C18" s="211"/>
      <c r="D18" s="196"/>
      <c r="E18" s="196"/>
      <c r="F18" s="378"/>
      <c r="G18" s="211"/>
      <c r="H18" s="211"/>
      <c r="I18" s="197"/>
      <c r="J18" s="154">
        <f t="shared" si="0"/>
        <v>1</v>
      </c>
    </row>
    <row r="19" spans="2:10" ht="23.4" x14ac:dyDescent="0.3">
      <c r="B19" s="195" t="s">
        <v>713</v>
      </c>
      <c r="C19" s="211"/>
      <c r="D19" s="196"/>
      <c r="E19" s="196"/>
      <c r="F19" s="378"/>
      <c r="G19" s="214"/>
      <c r="H19" s="211"/>
      <c r="I19" s="197"/>
      <c r="J19" s="154">
        <f t="shared" si="0"/>
        <v>1</v>
      </c>
    </row>
    <row r="20" spans="2:10" ht="23.4" x14ac:dyDescent="0.3">
      <c r="B20" s="195" t="s">
        <v>714</v>
      </c>
      <c r="C20" s="211"/>
      <c r="D20" s="196"/>
      <c r="E20" s="196"/>
      <c r="F20" s="378"/>
      <c r="G20" s="211"/>
      <c r="H20" s="211"/>
      <c r="I20" s="197"/>
      <c r="J20" s="154">
        <f t="shared" si="0"/>
        <v>1</v>
      </c>
    </row>
    <row r="21" spans="2:10" ht="23.4" x14ac:dyDescent="0.3">
      <c r="B21" s="195" t="s">
        <v>715</v>
      </c>
      <c r="C21" s="211"/>
      <c r="D21" s="196"/>
      <c r="E21" s="196"/>
      <c r="F21" s="378"/>
      <c r="G21" s="214"/>
      <c r="H21" s="211"/>
      <c r="I21" s="197"/>
      <c r="J21" s="154">
        <f t="shared" si="0"/>
        <v>1</v>
      </c>
    </row>
    <row r="22" spans="2:10" ht="23.4" x14ac:dyDescent="0.3">
      <c r="B22" s="195" t="s">
        <v>716</v>
      </c>
      <c r="C22" s="211"/>
      <c r="D22" s="196"/>
      <c r="E22" s="196"/>
      <c r="F22" s="378"/>
      <c r="G22" s="211"/>
      <c r="H22" s="211"/>
      <c r="I22" s="197"/>
      <c r="J22" s="154">
        <f t="shared" si="0"/>
        <v>1</v>
      </c>
    </row>
    <row r="23" spans="2:10" ht="23.4" x14ac:dyDescent="0.3">
      <c r="B23" s="195" t="s">
        <v>717</v>
      </c>
      <c r="C23" s="211"/>
      <c r="D23" s="196"/>
      <c r="E23" s="196"/>
      <c r="F23" s="378"/>
      <c r="G23" s="214"/>
      <c r="H23" s="211"/>
      <c r="I23" s="197"/>
      <c r="J23" s="154">
        <f t="shared" si="0"/>
        <v>1</v>
      </c>
    </row>
    <row r="24" spans="2:10" ht="23.4" x14ac:dyDescent="0.3">
      <c r="B24" s="195" t="s">
        <v>718</v>
      </c>
      <c r="C24" s="217"/>
      <c r="D24" s="355"/>
      <c r="E24" s="355"/>
      <c r="F24" s="379"/>
      <c r="G24" s="217"/>
      <c r="H24" s="217"/>
      <c r="I24" s="356"/>
      <c r="J24" s="154">
        <f t="shared" si="0"/>
        <v>1</v>
      </c>
    </row>
    <row r="25" spans="2:10" x14ac:dyDescent="0.3">
      <c r="B25" s="155" t="s">
        <v>603</v>
      </c>
      <c r="C25"/>
    </row>
    <row r="36" spans="8:8" x14ac:dyDescent="0.3">
      <c r="H36" s="80" t="str">
        <f>IF(C5&lt;&gt;"",CONCATENATE("           ",B5,"    ",C5),"")</f>
        <v xml:space="preserve">           Z1    Zielgruppe 1</v>
      </c>
    </row>
    <row r="37" spans="8:8" x14ac:dyDescent="0.3">
      <c r="H37" s="80" t="str">
        <f t="shared" ref="H37:H55" si="1">IF(C6&lt;&gt;"",CONCATENATE("           ",B6,"    ",C6),"")</f>
        <v xml:space="preserve">           Z2    Zielgruppe 2</v>
      </c>
    </row>
    <row r="38" spans="8:8" x14ac:dyDescent="0.3">
      <c r="H38" s="80" t="str">
        <f t="shared" si="1"/>
        <v/>
      </c>
    </row>
    <row r="39" spans="8:8" x14ac:dyDescent="0.3">
      <c r="H39" s="80" t="str">
        <f t="shared" si="1"/>
        <v/>
      </c>
    </row>
    <row r="40" spans="8:8" x14ac:dyDescent="0.3">
      <c r="H40" s="80" t="str">
        <f t="shared" si="1"/>
        <v/>
      </c>
    </row>
    <row r="41" spans="8:8" x14ac:dyDescent="0.3">
      <c r="H41" s="80" t="str">
        <f t="shared" si="1"/>
        <v/>
      </c>
    </row>
    <row r="42" spans="8:8" x14ac:dyDescent="0.3">
      <c r="H42" s="80" t="str">
        <f t="shared" si="1"/>
        <v/>
      </c>
    </row>
    <row r="43" spans="8:8" x14ac:dyDescent="0.3">
      <c r="H43" s="80" t="str">
        <f t="shared" si="1"/>
        <v/>
      </c>
    </row>
    <row r="44" spans="8:8" x14ac:dyDescent="0.3">
      <c r="H44" s="80" t="str">
        <f t="shared" si="1"/>
        <v/>
      </c>
    </row>
    <row r="45" spans="8:8" x14ac:dyDescent="0.3">
      <c r="H45" s="80" t="str">
        <f t="shared" si="1"/>
        <v/>
      </c>
    </row>
    <row r="46" spans="8:8" x14ac:dyDescent="0.3">
      <c r="H46" s="80" t="str">
        <f t="shared" si="1"/>
        <v/>
      </c>
    </row>
    <row r="47" spans="8:8" x14ac:dyDescent="0.3">
      <c r="H47" s="80" t="str">
        <f t="shared" si="1"/>
        <v/>
      </c>
    </row>
    <row r="48" spans="8:8" x14ac:dyDescent="0.3">
      <c r="H48" s="80" t="str">
        <f t="shared" si="1"/>
        <v/>
      </c>
    </row>
    <row r="49" spans="1:10" x14ac:dyDescent="0.3">
      <c r="H49" s="80" t="str">
        <f t="shared" si="1"/>
        <v/>
      </c>
    </row>
    <row r="50" spans="1:10" x14ac:dyDescent="0.3">
      <c r="H50" s="80" t="str">
        <f t="shared" si="1"/>
        <v/>
      </c>
    </row>
    <row r="51" spans="1:10" x14ac:dyDescent="0.3">
      <c r="A51" s="18"/>
      <c r="H51" s="80" t="str">
        <f t="shared" si="1"/>
        <v/>
      </c>
    </row>
    <row r="52" spans="1:10" x14ac:dyDescent="0.3">
      <c r="H52" s="80" t="str">
        <f t="shared" si="1"/>
        <v/>
      </c>
    </row>
    <row r="53" spans="1:10" x14ac:dyDescent="0.3">
      <c r="H53" s="80" t="str">
        <f t="shared" si="1"/>
        <v/>
      </c>
    </row>
    <row r="54" spans="1:10" x14ac:dyDescent="0.3">
      <c r="H54" s="80" t="str">
        <f t="shared" si="1"/>
        <v/>
      </c>
    </row>
    <row r="55" spans="1:10" x14ac:dyDescent="0.3">
      <c r="H55" s="80" t="str">
        <f t="shared" si="1"/>
        <v/>
      </c>
    </row>
    <row r="58" spans="1:10" s="20" customFormat="1" x14ac:dyDescent="0.3">
      <c r="A58" s="13"/>
      <c r="J58" s="154"/>
    </row>
    <row r="59" spans="1:10" s="20" customFormat="1" ht="0.9" customHeight="1" x14ac:dyDescent="0.3">
      <c r="A59" s="18"/>
      <c r="J59" s="154"/>
    </row>
    <row r="60" spans="1:10" x14ac:dyDescent="0.3">
      <c r="B60" s="155"/>
      <c r="C60"/>
    </row>
    <row r="68" spans="4:6" ht="15.6" x14ac:dyDescent="0.3">
      <c r="F68" s="23"/>
    </row>
    <row r="74" spans="4:6" x14ac:dyDescent="0.3">
      <c r="D74" s="15"/>
    </row>
    <row r="75" spans="4:6" x14ac:dyDescent="0.3">
      <c r="D75"/>
    </row>
    <row r="76" spans="4:6" x14ac:dyDescent="0.3">
      <c r="D76"/>
    </row>
    <row r="77" spans="4:6" x14ac:dyDescent="0.3">
      <c r="D77"/>
    </row>
    <row r="78" spans="4:6" x14ac:dyDescent="0.3">
      <c r="D78"/>
    </row>
    <row r="79" spans="4:6" x14ac:dyDescent="0.3">
      <c r="D79"/>
    </row>
    <row r="80" spans="4:6" x14ac:dyDescent="0.3">
      <c r="D80"/>
    </row>
    <row r="81" spans="4:4" x14ac:dyDescent="0.3">
      <c r="D81"/>
    </row>
    <row r="82" spans="4:4" x14ac:dyDescent="0.3">
      <c r="D82"/>
    </row>
    <row r="83" spans="4:4" x14ac:dyDescent="0.3">
      <c r="D83"/>
    </row>
    <row r="84" spans="4:4" x14ac:dyDescent="0.3">
      <c r="D84"/>
    </row>
    <row r="85" spans="4:4" x14ac:dyDescent="0.3">
      <c r="D85"/>
    </row>
    <row r="86" spans="4:4" x14ac:dyDescent="0.3">
      <c r="D86"/>
    </row>
    <row r="87" spans="4:4" x14ac:dyDescent="0.3">
      <c r="D87"/>
    </row>
    <row r="88" spans="4:4" x14ac:dyDescent="0.3">
      <c r="D88"/>
    </row>
    <row r="89" spans="4:4" x14ac:dyDescent="0.3">
      <c r="D89"/>
    </row>
    <row r="90" spans="4:4" x14ac:dyDescent="0.3">
      <c r="D90"/>
    </row>
    <row r="91" spans="4:4" x14ac:dyDescent="0.3">
      <c r="D91"/>
    </row>
    <row r="92" spans="4:4" x14ac:dyDescent="0.3">
      <c r="D92"/>
    </row>
    <row r="93" spans="4:4" x14ac:dyDescent="0.3">
      <c r="D93"/>
    </row>
  </sheetData>
  <sheetProtection sheet="1" objects="1" scenarios="1" formatCells="0" formatColumns="0" formatRows="0" insertHyperlinks="0" selectLockedCells="1" sort="0" autoFilter="0"/>
  <conditionalFormatting sqref="B5:I24">
    <cfRule type="expression" dxfId="23" priority="3">
      <formula>MOD(ROW(A2),2)=0</formula>
    </cfRule>
    <cfRule type="expression" dxfId="22" priority="4">
      <formula>MOD(ROW(A1),2)=0</formula>
    </cfRule>
  </conditionalFormatting>
  <conditionalFormatting sqref="D5:D24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4">
    <dataValidation type="list" allowBlank="1" showInputMessage="1" showErrorMessage="1" sqref="E31:E57" xr:uid="{00000000-0002-0000-0800-000000000000}">
      <formula1>"1,2,3,4,5"</formula1>
    </dataValidation>
    <dataValidation type="list" allowBlank="1" showInputMessage="1" showErrorMessage="1" sqref="D31:D57" xr:uid="{00000000-0002-0000-0800-000001000000}">
      <formula1>"1,2,3,4,5,6,7,8,9,10,11"</formula1>
    </dataValidation>
    <dataValidation type="list" allowBlank="1" showInputMessage="1" showErrorMessage="1" sqref="I5:I24 F31:F57 F5:F24" xr:uid="{00000000-0002-0000-0800-000002000000}">
      <formula1>"1,2,3"</formula1>
    </dataValidation>
    <dataValidation type="list" allowBlank="1" showInputMessage="1" showErrorMessage="1" sqref="D5:E24" xr:uid="{00000000-0002-0000-0800-000003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4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6B956CE1-E684-4845-BA0A-BF00A4DD2284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F5:F24</xm:sqref>
        </x14:conditionalFormatting>
        <x14:conditionalFormatting xmlns:xm="http://schemas.microsoft.com/office/excel/2006/main">
          <x14:cfRule type="iconSet" priority="12" id="{AD0A5443-A2E6-4237-B156-9E0EEDA11CEC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3">
    <tabColor theme="6" tint="0.59999389629810485"/>
    <pageSetUpPr fitToPage="1"/>
  </sheetPr>
  <dimension ref="A1:S28"/>
  <sheetViews>
    <sheetView showGridLines="0" zoomScaleNormal="100" workbookViewId="0">
      <pane ySplit="1" topLeftCell="A2" activePane="bottomLeft" state="frozen"/>
      <selection activeCell="T14" sqref="T14"/>
      <selection pane="bottomLeft" activeCell="A2" sqref="A2"/>
    </sheetView>
  </sheetViews>
  <sheetFormatPr baseColWidth="10" defaultColWidth="11.44140625" defaultRowHeight="14.4" x14ac:dyDescent="0.3"/>
  <cols>
    <col min="1" max="1" width="9.109375" style="13" customWidth="1"/>
    <col min="2" max="2" width="4.5546875" style="13" customWidth="1"/>
    <col min="3" max="3" width="36.109375" style="13" customWidth="1"/>
    <col min="4" max="4" width="34.33203125" style="13" customWidth="1"/>
    <col min="5" max="5" width="30.5546875" style="13" customWidth="1"/>
    <col min="6" max="6" width="28.6640625" style="13" customWidth="1"/>
    <col min="7" max="7" width="7.109375" style="13" bestFit="1" customWidth="1"/>
    <col min="8" max="8" width="50.5546875" style="13" customWidth="1"/>
    <col min="9" max="9" width="7.5546875" style="13" customWidth="1"/>
    <col min="10" max="10" width="11.44140625" style="13"/>
    <col min="11" max="11" width="4.88671875" style="13" customWidth="1"/>
    <col min="12" max="12" width="2.88671875" style="13" customWidth="1"/>
    <col min="13" max="13" width="11.44140625" style="13"/>
    <col min="14" max="20" width="4" style="13" customWidth="1"/>
    <col min="21" max="16384" width="11.44140625" style="13"/>
  </cols>
  <sheetData>
    <row r="1" spans="1:19" s="2" customFormat="1" ht="43.95" customHeight="1" x14ac:dyDescent="0.3">
      <c r="A1" s="16"/>
      <c r="B1" s="4" t="str">
        <f ca="1">' '!A141</f>
        <v>C A N A U X   D E   C O M M U N I C A T I O N</v>
      </c>
      <c r="C1" s="16"/>
      <c r="D1" s="4"/>
      <c r="E1" s="4"/>
      <c r="F1" s="4"/>
      <c r="G1" s="141"/>
      <c r="H1" s="4"/>
      <c r="I1" s="4"/>
      <c r="J1" s="4"/>
      <c r="K1" s="3"/>
      <c r="L1" s="3"/>
      <c r="M1" s="3"/>
      <c r="N1" s="3"/>
      <c r="O1" s="3"/>
      <c r="P1" s="3"/>
      <c r="Q1" s="3"/>
      <c r="R1" s="3"/>
      <c r="S1" s="3"/>
    </row>
    <row r="2" spans="1:19" s="2" customFormat="1" ht="0.9" customHeight="1" x14ac:dyDescent="0.3">
      <c r="A2" s="53"/>
      <c r="B2" s="19"/>
      <c r="C2" s="19"/>
      <c r="D2" s="12"/>
      <c r="E2" s="12"/>
      <c r="F2" s="12"/>
      <c r="G2" s="12"/>
      <c r="H2" s="12"/>
      <c r="I2" s="12"/>
      <c r="J2" s="12"/>
      <c r="K2" s="3"/>
      <c r="L2" s="3"/>
      <c r="M2" s="3"/>
      <c r="N2" s="3"/>
      <c r="O2" s="3"/>
      <c r="P2" s="3"/>
      <c r="Q2" s="3"/>
      <c r="R2" s="3"/>
      <c r="S2" s="3"/>
    </row>
    <row r="3" spans="1:19" ht="16.5" customHeight="1" x14ac:dyDescent="0.3">
      <c r="B3" s="82"/>
      <c r="C3" s="57"/>
    </row>
    <row r="4" spans="1:19" ht="14.25" customHeight="1" x14ac:dyDescent="0.3">
      <c r="A4" s="51"/>
      <c r="B4" s="58"/>
      <c r="C4" s="58"/>
    </row>
    <row r="5" spans="1:19" ht="41.25" customHeight="1" x14ac:dyDescent="0.3">
      <c r="B5" s="380" t="str">
        <f ca="1">' '!A60</f>
        <v>No.</v>
      </c>
      <c r="C5" s="382" t="str">
        <f ca="1">' '!A142</f>
        <v>Groupe cible</v>
      </c>
      <c r="D5" s="391"/>
      <c r="E5" s="382" t="str">
        <f ca="1">' '!A143</f>
        <v>Canal de communication</v>
      </c>
      <c r="F5" s="382" t="str">
        <f ca="1">' '!A165</f>
        <v>Remarques</v>
      </c>
      <c r="G5" s="381" t="str">
        <f ca="1">' '!A67</f>
        <v>Statut</v>
      </c>
    </row>
    <row r="6" spans="1:19" ht="3.75" customHeight="1" x14ac:dyDescent="0.3">
      <c r="B6" s="383"/>
      <c r="C6" s="385"/>
      <c r="D6" s="385"/>
      <c r="E6" s="392"/>
      <c r="F6" s="385"/>
      <c r="G6" s="384"/>
    </row>
    <row r="7" spans="1:19" s="74" customFormat="1" ht="32.25" customHeight="1" x14ac:dyDescent="0.3">
      <c r="B7" s="386">
        <v>1</v>
      </c>
      <c r="C7" s="393" t="str">
        <f>IF(Zielgruppe!C5&lt;&gt;"",Zielgruppe!C5,"")</f>
        <v>Zielgruppe 1</v>
      </c>
      <c r="D7" s="385"/>
      <c r="E7" s="388" t="str">
        <f ca="1">' '!A200</f>
        <v>Interne</v>
      </c>
      <c r="F7" s="387"/>
      <c r="G7" s="374">
        <v>2</v>
      </c>
    </row>
    <row r="8" spans="1:19" s="74" customFormat="1" ht="32.25" customHeight="1" x14ac:dyDescent="0.3">
      <c r="B8" s="386">
        <v>2</v>
      </c>
      <c r="C8" s="393" t="str">
        <f>IF(Zielgruppe!C6&lt;&gt;"",Zielgruppe!C6,"")</f>
        <v>Zielgruppe 2</v>
      </c>
      <c r="D8" s="385"/>
      <c r="E8" s="388" t="str">
        <f ca="1">' '!A201</f>
        <v>Externe</v>
      </c>
      <c r="F8" s="388"/>
      <c r="G8" s="374">
        <v>3</v>
      </c>
    </row>
    <row r="9" spans="1:19" s="74" customFormat="1" ht="32.25" customHeight="1" x14ac:dyDescent="0.3">
      <c r="B9" s="386">
        <v>3</v>
      </c>
      <c r="C9" s="393" t="str">
        <f>IF(Zielgruppe!C7&lt;&gt;"",Zielgruppe!C7,"")</f>
        <v/>
      </c>
      <c r="D9" s="385"/>
      <c r="E9" s="388" t="str">
        <f ca="1">' '!A202</f>
        <v>Internet</v>
      </c>
      <c r="F9" s="388"/>
      <c r="G9" s="375"/>
    </row>
    <row r="10" spans="1:19" s="74" customFormat="1" ht="32.25" customHeight="1" x14ac:dyDescent="0.3">
      <c r="B10" s="386">
        <v>4</v>
      </c>
      <c r="C10" s="393" t="str">
        <f>IF(Zielgruppe!C8&lt;&gt;"",Zielgruppe!C8,"")</f>
        <v/>
      </c>
      <c r="D10" s="385"/>
      <c r="E10" s="388" t="str">
        <f ca="1">' '!A203</f>
        <v>Social Medias</v>
      </c>
      <c r="F10" s="388"/>
      <c r="G10" s="376"/>
    </row>
    <row r="11" spans="1:19" s="74" customFormat="1" ht="32.25" customHeight="1" x14ac:dyDescent="0.3">
      <c r="B11" s="386">
        <v>5</v>
      </c>
      <c r="C11" s="393" t="str">
        <f>IF(Zielgruppe!C9&lt;&gt;"",Zielgruppe!C9,"")</f>
        <v/>
      </c>
      <c r="D11" s="385"/>
      <c r="E11" s="388" t="str">
        <f ca="1">' '!A204</f>
        <v>Relations publiques</v>
      </c>
      <c r="F11" s="388"/>
      <c r="G11" s="375"/>
    </row>
    <row r="12" spans="1:19" s="74" customFormat="1" ht="32.25" customHeight="1" x14ac:dyDescent="0.3">
      <c r="B12" s="386">
        <v>6</v>
      </c>
      <c r="C12" s="393" t="str">
        <f>IF(Zielgruppe!C10&lt;&gt;"",Zielgruppe!C10,"")</f>
        <v/>
      </c>
      <c r="D12" s="385"/>
      <c r="E12" s="388"/>
      <c r="F12" s="388"/>
      <c r="G12" s="376"/>
    </row>
    <row r="13" spans="1:19" s="74" customFormat="1" ht="32.25" customHeight="1" x14ac:dyDescent="0.3">
      <c r="B13" s="386">
        <v>7</v>
      </c>
      <c r="C13" s="393" t="str">
        <f>IF(Zielgruppe!C11&lt;&gt;"",Zielgruppe!C11,"")</f>
        <v/>
      </c>
      <c r="D13" s="385"/>
      <c r="E13" s="388"/>
      <c r="F13" s="388"/>
      <c r="G13" s="375"/>
    </row>
    <row r="14" spans="1:19" s="74" customFormat="1" ht="32.25" customHeight="1" x14ac:dyDescent="0.3">
      <c r="B14" s="386">
        <v>8</v>
      </c>
      <c r="C14" s="393" t="str">
        <f>IF(Zielgruppe!C12&lt;&gt;"",Zielgruppe!C12,"")</f>
        <v/>
      </c>
      <c r="D14" s="385"/>
      <c r="E14" s="388"/>
      <c r="F14" s="388"/>
      <c r="G14" s="376"/>
    </row>
    <row r="15" spans="1:19" s="74" customFormat="1" ht="32.25" customHeight="1" x14ac:dyDescent="0.3">
      <c r="B15" s="386">
        <v>9</v>
      </c>
      <c r="C15" s="393" t="str">
        <f>IF(Zielgruppe!C13&lt;&gt;"",Zielgruppe!C13,"")</f>
        <v/>
      </c>
      <c r="D15" s="385"/>
      <c r="E15" s="388"/>
      <c r="F15" s="388"/>
      <c r="G15" s="375"/>
    </row>
    <row r="16" spans="1:19" s="74" customFormat="1" ht="32.25" customHeight="1" x14ac:dyDescent="0.3">
      <c r="B16" s="386">
        <v>10</v>
      </c>
      <c r="C16" s="393" t="str">
        <f>IF(Zielgruppe!C14&lt;&gt;"",Zielgruppe!C14,"")</f>
        <v/>
      </c>
      <c r="D16" s="385"/>
      <c r="E16" s="388"/>
      <c r="F16" s="388"/>
      <c r="G16" s="376"/>
    </row>
    <row r="17" spans="2:7" s="74" customFormat="1" ht="32.25" customHeight="1" x14ac:dyDescent="0.3">
      <c r="B17" s="386">
        <v>11</v>
      </c>
      <c r="C17" s="393" t="str">
        <f>IF(Zielgruppe!C15&lt;&gt;"",Zielgruppe!C15,"")</f>
        <v/>
      </c>
      <c r="D17" s="385"/>
      <c r="E17" s="388"/>
      <c r="F17" s="388"/>
      <c r="G17" s="375"/>
    </row>
    <row r="18" spans="2:7" s="74" customFormat="1" ht="32.25" customHeight="1" x14ac:dyDescent="0.3">
      <c r="B18" s="386">
        <v>12</v>
      </c>
      <c r="C18" s="393" t="str">
        <f>IF(Zielgruppe!C16&lt;&gt;"",Zielgruppe!C16,"")</f>
        <v/>
      </c>
      <c r="D18" s="385"/>
      <c r="E18" s="388"/>
      <c r="F18" s="388"/>
      <c r="G18" s="376"/>
    </row>
    <row r="19" spans="2:7" s="74" customFormat="1" ht="32.25" customHeight="1" x14ac:dyDescent="0.3">
      <c r="B19" s="386">
        <v>13</v>
      </c>
      <c r="C19" s="393" t="str">
        <f>IF(Zielgruppe!C17&lt;&gt;"",Zielgruppe!C17,"")</f>
        <v/>
      </c>
      <c r="D19" s="385"/>
      <c r="E19" s="388"/>
      <c r="F19" s="388"/>
      <c r="G19" s="375"/>
    </row>
    <row r="20" spans="2:7" s="74" customFormat="1" ht="32.25" customHeight="1" x14ac:dyDescent="0.3">
      <c r="B20" s="386">
        <v>14</v>
      </c>
      <c r="C20" s="393" t="str">
        <f>IF(Zielgruppe!C18&lt;&gt;"",Zielgruppe!C18,"")</f>
        <v/>
      </c>
      <c r="D20" s="385"/>
      <c r="E20" s="388"/>
      <c r="F20" s="388"/>
      <c r="G20" s="376"/>
    </row>
    <row r="21" spans="2:7" s="74" customFormat="1" ht="32.25" customHeight="1" x14ac:dyDescent="0.3">
      <c r="B21" s="386">
        <v>15</v>
      </c>
      <c r="C21" s="393" t="str">
        <f>IF(Zielgruppe!C19&lt;&gt;"",Zielgruppe!C19,"")</f>
        <v/>
      </c>
      <c r="D21" s="385"/>
      <c r="E21" s="388"/>
      <c r="F21" s="388"/>
      <c r="G21" s="375"/>
    </row>
    <row r="22" spans="2:7" s="74" customFormat="1" ht="32.25" customHeight="1" x14ac:dyDescent="0.3">
      <c r="B22" s="386">
        <v>16</v>
      </c>
      <c r="C22" s="393" t="str">
        <f>IF(Zielgruppe!C20&lt;&gt;"",Zielgruppe!C20,"")</f>
        <v/>
      </c>
      <c r="D22" s="385"/>
      <c r="E22" s="388"/>
      <c r="F22" s="388"/>
      <c r="G22" s="375"/>
    </row>
    <row r="23" spans="2:7" s="74" customFormat="1" ht="32.25" customHeight="1" x14ac:dyDescent="0.3">
      <c r="B23" s="386">
        <v>17</v>
      </c>
      <c r="C23" s="393" t="str">
        <f>IF(Zielgruppe!C21&lt;&gt;"",Zielgruppe!C21,"")</f>
        <v/>
      </c>
      <c r="D23" s="385"/>
      <c r="E23" s="388"/>
      <c r="F23" s="388"/>
      <c r="G23" s="376"/>
    </row>
    <row r="24" spans="2:7" s="74" customFormat="1" ht="32.25" customHeight="1" x14ac:dyDescent="0.3">
      <c r="B24" s="386">
        <v>18</v>
      </c>
      <c r="C24" s="393" t="str">
        <f>IF(Zielgruppe!C22&lt;&gt;"",Zielgruppe!C22,"")</f>
        <v/>
      </c>
      <c r="D24" s="385"/>
      <c r="E24" s="388"/>
      <c r="F24" s="388"/>
      <c r="G24" s="375"/>
    </row>
    <row r="25" spans="2:7" s="74" customFormat="1" ht="32.25" customHeight="1" x14ac:dyDescent="0.3">
      <c r="B25" s="386">
        <v>19</v>
      </c>
      <c r="C25" s="393" t="str">
        <f>IF(Zielgruppe!C23&lt;&gt;"",Zielgruppe!C23,"")</f>
        <v/>
      </c>
      <c r="D25" s="385"/>
      <c r="E25" s="388"/>
      <c r="F25" s="388"/>
      <c r="G25" s="376"/>
    </row>
    <row r="26" spans="2:7" s="74" customFormat="1" ht="32.25" customHeight="1" x14ac:dyDescent="0.3">
      <c r="B26" s="389">
        <v>20</v>
      </c>
      <c r="C26" s="394" t="str">
        <f>IF(Zielgruppe!C24&lt;&gt;"",Zielgruppe!C24,"")</f>
        <v/>
      </c>
      <c r="D26" s="395"/>
      <c r="E26" s="390"/>
      <c r="F26" s="390"/>
      <c r="G26" s="377"/>
    </row>
    <row r="27" spans="2:7" ht="5.25" customHeight="1" x14ac:dyDescent="0.3">
      <c r="B27" s="59"/>
      <c r="C27" s="59"/>
    </row>
    <row r="28" spans="2:7" ht="11.25" customHeight="1" x14ac:dyDescent="0.3">
      <c r="B28" s="155" t="s">
        <v>603</v>
      </c>
      <c r="C28"/>
      <c r="G28" s="622" t="str">
        <f ca="1">' '!A215</f>
        <v>Copy arrow: ctrl and left mouse button</v>
      </c>
    </row>
  </sheetData>
  <sheetProtection sheet="1" objects="1" scenarios="1" formatCells="0" formatColumns="0" formatRows="0" insertHyperlinks="0" selectLockedCells="1" sort="0" autoFilter="0"/>
  <conditionalFormatting sqref="B7:C26 E7:G26">
    <cfRule type="expression" dxfId="21" priority="3">
      <formula>MOD(ROW(XEZ1),2)=0</formula>
    </cfRule>
    <cfRule type="expression" dxfId="20" priority="4">
      <formula>MOD(ROW(XFD2),2)=0</formula>
    </cfRule>
  </conditionalFormatting>
  <conditionalFormatting sqref="E27">
    <cfRule type="expression" dxfId="19" priority="2">
      <formula>MOD(ROW(A13),2)=0</formula>
    </cfRule>
  </conditionalFormatting>
  <dataValidations count="1">
    <dataValidation type="list" allowBlank="1" showInputMessage="1" showErrorMessage="1" sqref="G6:G25" xr:uid="{00000000-0002-0000-0900-000000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0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E70FA4D-24AE-4D86-9AB5-C2545E40A26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G7:G26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">
    <tabColor theme="6" tint="0.59999389629810485"/>
    <pageSetUpPr fitToPage="1"/>
  </sheetPr>
  <dimension ref="A1:R39"/>
  <sheetViews>
    <sheetView showGridLines="0" zoomScaleNormal="100" workbookViewId="0">
      <pane ySplit="1" topLeftCell="A2" activePane="bottomLeft" state="frozen"/>
      <selection activeCell="T14" sqref="T14"/>
      <selection pane="bottomLeft" activeCell="A2" sqref="A2"/>
    </sheetView>
  </sheetViews>
  <sheetFormatPr baseColWidth="10" defaultColWidth="11.44140625" defaultRowHeight="14.4" x14ac:dyDescent="0.3"/>
  <cols>
    <col min="1" max="1" width="7" style="13" customWidth="1"/>
    <col min="2" max="11" width="14.44140625" style="13" customWidth="1"/>
    <col min="12" max="12" width="19" style="13" customWidth="1"/>
    <col min="13" max="13" width="18.5546875" style="13" customWidth="1"/>
    <col min="14" max="21" width="14.44140625" style="13" customWidth="1"/>
    <col min="22" max="16384" width="11.44140625" style="13"/>
  </cols>
  <sheetData>
    <row r="1" spans="1:18" s="2" customFormat="1" ht="43.95" customHeight="1" x14ac:dyDescent="0.3">
      <c r="A1" s="16"/>
      <c r="B1" s="4" t="str">
        <f ca="1">' '!A185</f>
        <v>C U S T O M E R   E M P A T H Y   M A P</v>
      </c>
      <c r="C1" s="144"/>
      <c r="D1" s="419"/>
      <c r="E1" s="4"/>
      <c r="F1" s="4"/>
      <c r="G1" s="4"/>
      <c r="H1" s="4"/>
      <c r="I1" s="4"/>
      <c r="J1" s="420"/>
      <c r="K1" s="420"/>
      <c r="L1" s="141"/>
      <c r="N1" s="3"/>
      <c r="O1" s="3"/>
      <c r="P1" s="3"/>
      <c r="Q1" s="3"/>
      <c r="R1" s="3"/>
    </row>
    <row r="2" spans="1:18" s="2" customFormat="1" ht="0.9" customHeight="1" x14ac:dyDescent="0.3">
      <c r="A2" s="19"/>
      <c r="B2" s="19"/>
      <c r="C2" s="12"/>
      <c r="D2" s="12"/>
      <c r="E2" s="12"/>
      <c r="F2" s="12"/>
      <c r="G2" s="12"/>
      <c r="H2" s="12"/>
      <c r="I2" s="12"/>
      <c r="J2" s="3"/>
      <c r="K2" s="3"/>
      <c r="L2" s="3"/>
      <c r="M2" s="3"/>
      <c r="N2" s="3"/>
      <c r="O2" s="3"/>
      <c r="P2" s="3"/>
      <c r="Q2" s="3"/>
      <c r="R2" s="3"/>
    </row>
    <row r="3" spans="1:18" ht="16.5" customHeight="1" x14ac:dyDescent="0.3"/>
    <row r="4" spans="1:18" ht="16.5" customHeight="1" x14ac:dyDescent="0.3">
      <c r="B4" s="145"/>
    </row>
    <row r="5" spans="1:18" ht="16.5" customHeight="1" x14ac:dyDescent="0.3">
      <c r="B5" s="145"/>
    </row>
    <row r="6" spans="1:18" ht="16.5" customHeight="1" x14ac:dyDescent="0.3">
      <c r="B6" s="145"/>
    </row>
    <row r="7" spans="1:18" ht="16.5" customHeight="1" x14ac:dyDescent="0.3">
      <c r="B7" s="145"/>
    </row>
    <row r="8" spans="1:18" ht="16.5" customHeight="1" x14ac:dyDescent="0.3">
      <c r="B8" s="145"/>
    </row>
    <row r="9" spans="1:18" ht="16.5" customHeight="1" x14ac:dyDescent="0.3">
      <c r="B9" s="145"/>
    </row>
    <row r="10" spans="1:18" ht="16.5" customHeight="1" x14ac:dyDescent="0.3">
      <c r="B10" s="145"/>
    </row>
    <row r="11" spans="1:18" ht="16.5" customHeight="1" x14ac:dyDescent="0.3">
      <c r="B11" s="145"/>
    </row>
    <row r="12" spans="1:18" ht="16.5" customHeight="1" x14ac:dyDescent="0.3">
      <c r="B12" s="145"/>
    </row>
    <row r="13" spans="1:18" ht="16.5" customHeight="1" x14ac:dyDescent="0.3">
      <c r="B13" s="145"/>
    </row>
    <row r="14" spans="1:18" ht="16.5" customHeight="1" x14ac:dyDescent="0.3">
      <c r="B14" s="145"/>
    </row>
    <row r="15" spans="1:18" ht="16.5" customHeight="1" x14ac:dyDescent="0.3">
      <c r="B15" s="145"/>
    </row>
    <row r="16" spans="1:18" ht="16.5" customHeight="1" x14ac:dyDescent="0.3">
      <c r="B16" s="145"/>
    </row>
    <row r="17" spans="2:2" ht="16.5" customHeight="1" x14ac:dyDescent="0.3">
      <c r="B17" s="145"/>
    </row>
    <row r="18" spans="2:2" ht="16.5" customHeight="1" x14ac:dyDescent="0.3">
      <c r="B18" s="145"/>
    </row>
    <row r="19" spans="2:2" ht="16.5" customHeight="1" x14ac:dyDescent="0.3">
      <c r="B19" s="145"/>
    </row>
    <row r="20" spans="2:2" ht="16.5" customHeight="1" x14ac:dyDescent="0.3">
      <c r="B20" s="145"/>
    </row>
    <row r="21" spans="2:2" ht="16.5" customHeight="1" x14ac:dyDescent="0.3">
      <c r="B21" s="145"/>
    </row>
    <row r="22" spans="2:2" ht="16.5" customHeight="1" x14ac:dyDescent="0.3">
      <c r="B22" s="145"/>
    </row>
    <row r="23" spans="2:2" ht="16.5" customHeight="1" x14ac:dyDescent="0.3">
      <c r="B23" s="145"/>
    </row>
    <row r="24" spans="2:2" ht="16.5" customHeight="1" x14ac:dyDescent="0.3">
      <c r="B24" s="145"/>
    </row>
    <row r="25" spans="2:2" ht="16.5" customHeight="1" x14ac:dyDescent="0.3">
      <c r="B25" s="145"/>
    </row>
    <row r="26" spans="2:2" ht="16.5" customHeight="1" x14ac:dyDescent="0.3">
      <c r="B26" s="145"/>
    </row>
    <row r="27" spans="2:2" ht="16.5" customHeight="1" x14ac:dyDescent="0.3">
      <c r="B27" s="145"/>
    </row>
    <row r="28" spans="2:2" ht="16.5" customHeight="1" x14ac:dyDescent="0.3">
      <c r="B28" s="145"/>
    </row>
    <row r="29" spans="2:2" ht="16.5" customHeight="1" x14ac:dyDescent="0.3">
      <c r="B29" s="145"/>
    </row>
    <row r="30" spans="2:2" ht="16.5" customHeight="1" x14ac:dyDescent="0.3">
      <c r="B30" s="145"/>
    </row>
    <row r="31" spans="2:2" ht="16.5" customHeight="1" x14ac:dyDescent="0.3">
      <c r="B31" s="145"/>
    </row>
    <row r="32" spans="2:2" ht="16.5" customHeight="1" x14ac:dyDescent="0.3">
      <c r="B32" s="145"/>
    </row>
    <row r="33" spans="1:4" ht="16.5" customHeight="1" x14ac:dyDescent="0.3">
      <c r="B33" s="145"/>
    </row>
    <row r="34" spans="1:4" ht="16.5" customHeight="1" x14ac:dyDescent="0.3">
      <c r="B34" s="145"/>
    </row>
    <row r="35" spans="1:4" ht="16.5" customHeight="1" x14ac:dyDescent="0.3">
      <c r="B35" s="145"/>
    </row>
    <row r="36" spans="1:4" ht="14.25" customHeight="1" x14ac:dyDescent="0.3">
      <c r="A36" s="51"/>
      <c r="B36" s="58"/>
    </row>
    <row r="37" spans="1:4" ht="5.25" customHeight="1" x14ac:dyDescent="0.3">
      <c r="B37" s="59"/>
    </row>
    <row r="39" spans="1:4" s="2" customFormat="1" x14ac:dyDescent="0.3">
      <c r="A39" s="13"/>
      <c r="B39" s="155" t="s">
        <v>603</v>
      </c>
      <c r="C39"/>
      <c r="D39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9" scale="86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46">
    <tabColor theme="6" tint="0.39997558519241921"/>
    <pageSetUpPr fitToPage="1"/>
  </sheetPr>
  <dimension ref="A1:J90"/>
  <sheetViews>
    <sheetView showGridLines="0" zoomScaleNormal="100" workbookViewId="0">
      <pane ySplit="4" topLeftCell="A5" activePane="bottomLeft" state="frozen"/>
      <selection activeCell="T14" sqref="T14"/>
      <selection pane="bottomLeft" activeCell="C5" sqref="C5"/>
    </sheetView>
  </sheetViews>
  <sheetFormatPr baseColWidth="10" defaultColWidth="12.5546875" defaultRowHeight="14.4" x14ac:dyDescent="0.3"/>
  <cols>
    <col min="1" max="1" width="7" style="13" customWidth="1"/>
    <col min="2" max="2" width="4.5546875" style="10" customWidth="1"/>
    <col min="3" max="3" width="29" style="10" customWidth="1"/>
    <col min="4" max="4" width="11.6640625" style="10" customWidth="1"/>
    <col min="5" max="5" width="12.44140625" style="10" bestFit="1" customWidth="1"/>
    <col min="6" max="6" width="31.6640625" style="10" customWidth="1"/>
    <col min="7" max="7" width="7" style="10" customWidth="1"/>
    <col min="8" max="8" width="26" style="10" customWidth="1"/>
    <col min="9" max="9" width="7" style="10" customWidth="1"/>
    <col min="10" max="10" width="0.109375" style="202" customWidth="1"/>
    <col min="11" max="18" width="4" style="10" customWidth="1"/>
    <col min="19" max="16384" width="12.5546875" style="10"/>
  </cols>
  <sheetData>
    <row r="1" spans="1:10" s="1" customFormat="1" ht="43.95" customHeight="1" x14ac:dyDescent="0.3">
      <c r="A1" s="16"/>
      <c r="B1" s="5" t="str">
        <f ca="1">' '!A92</f>
        <v>R I S Q U E S   C O M M U N I C A T I O N</v>
      </c>
      <c r="C1" s="5"/>
      <c r="D1" s="5"/>
      <c r="E1" s="5"/>
      <c r="F1" s="5"/>
      <c r="G1" s="5"/>
      <c r="H1" s="5"/>
      <c r="I1" s="141"/>
      <c r="J1" s="103"/>
    </row>
    <row r="2" spans="1:10" customFormat="1" ht="22.5" customHeight="1" x14ac:dyDescent="0.3">
      <c r="A2" s="13"/>
      <c r="B2" s="82"/>
      <c r="J2" s="41"/>
    </row>
    <row r="3" spans="1:10" ht="7.5" customHeight="1" x14ac:dyDescent="0.3">
      <c r="C3"/>
    </row>
    <row r="4" spans="1:10" ht="36" customHeight="1" thickBot="1" x14ac:dyDescent="0.35">
      <c r="B4" s="198" t="str">
        <f ca="1">' '!A101</f>
        <v>No.</v>
      </c>
      <c r="C4" s="199" t="str">
        <f ca="1">' '!A102</f>
        <v>Risque</v>
      </c>
      <c r="D4" s="199" t="str">
        <f ca="1">' '!A105</f>
        <v>Étendue des dommages</v>
      </c>
      <c r="E4" s="424" t="str">
        <f ca="1">' '!A104</f>
        <v>Probabilité d'occurrence</v>
      </c>
      <c r="F4" s="199" t="str">
        <f ca="1">' '!A103</f>
        <v>Impact</v>
      </c>
      <c r="G4" s="199" t="str">
        <f ca="1">' '!A106</f>
        <v>Ten-
dance</v>
      </c>
      <c r="H4" s="199" t="str">
        <f ca="1">' '!A107</f>
        <v>Mesures possibles</v>
      </c>
      <c r="I4" s="200" t="str">
        <f ca="1">' '!A108</f>
        <v>Statut</v>
      </c>
    </row>
    <row r="5" spans="1:10" ht="23.4" x14ac:dyDescent="0.3">
      <c r="B5" s="425" t="s">
        <v>150</v>
      </c>
      <c r="C5" s="346" t="s">
        <v>449</v>
      </c>
      <c r="D5" s="196">
        <v>3</v>
      </c>
      <c r="E5" s="196">
        <v>9</v>
      </c>
      <c r="F5" s="341"/>
      <c r="G5" s="426">
        <v>3</v>
      </c>
      <c r="H5" s="341"/>
      <c r="I5" s="427">
        <v>1</v>
      </c>
      <c r="J5" s="421">
        <v>1</v>
      </c>
    </row>
    <row r="6" spans="1:10" ht="23.4" x14ac:dyDescent="0.3">
      <c r="B6" s="428" t="s">
        <v>151</v>
      </c>
      <c r="C6" s="341" t="s">
        <v>450</v>
      </c>
      <c r="D6" s="196">
        <v>8</v>
      </c>
      <c r="E6" s="196">
        <v>10</v>
      </c>
      <c r="F6" s="429"/>
      <c r="G6" s="430">
        <v>2</v>
      </c>
      <c r="H6" s="429"/>
      <c r="I6" s="431">
        <v>3</v>
      </c>
      <c r="J6" s="422">
        <v>1</v>
      </c>
    </row>
    <row r="7" spans="1:10" ht="23.4" x14ac:dyDescent="0.3">
      <c r="B7" s="432" t="s">
        <v>152</v>
      </c>
      <c r="C7" s="433"/>
      <c r="D7" s="196"/>
      <c r="E7" s="196"/>
      <c r="F7" s="434"/>
      <c r="G7" s="435"/>
      <c r="H7" s="434"/>
      <c r="I7" s="436"/>
      <c r="J7" s="422">
        <v>1</v>
      </c>
    </row>
    <row r="8" spans="1:10" ht="23.4" x14ac:dyDescent="0.3">
      <c r="B8" s="437" t="s">
        <v>153</v>
      </c>
      <c r="C8" s="438"/>
      <c r="D8" s="196"/>
      <c r="E8" s="196"/>
      <c r="F8" s="235"/>
      <c r="G8" s="439"/>
      <c r="H8" s="235"/>
      <c r="I8" s="440"/>
      <c r="J8" s="422">
        <v>1</v>
      </c>
    </row>
    <row r="9" spans="1:10" ht="23.4" x14ac:dyDescent="0.3">
      <c r="B9" s="441" t="s">
        <v>154</v>
      </c>
      <c r="C9" s="429"/>
      <c r="D9" s="196"/>
      <c r="E9" s="196"/>
      <c r="F9" s="299"/>
      <c r="G9" s="442"/>
      <c r="H9" s="299"/>
      <c r="I9" s="443"/>
      <c r="J9" s="422">
        <v>1</v>
      </c>
    </row>
    <row r="10" spans="1:10" ht="23.4" x14ac:dyDescent="0.3">
      <c r="B10" s="444" t="s">
        <v>155</v>
      </c>
      <c r="C10" s="445"/>
      <c r="D10" s="196"/>
      <c r="E10" s="196"/>
      <c r="F10" s="321"/>
      <c r="G10" s="446"/>
      <c r="H10" s="321"/>
      <c r="I10" s="447"/>
      <c r="J10" s="422">
        <v>1</v>
      </c>
    </row>
    <row r="11" spans="1:10" ht="23.4" x14ac:dyDescent="0.3">
      <c r="B11" s="448" t="s">
        <v>156</v>
      </c>
      <c r="C11" s="230"/>
      <c r="D11" s="196"/>
      <c r="E11" s="196"/>
      <c r="F11" s="438"/>
      <c r="G11" s="449"/>
      <c r="H11" s="316"/>
      <c r="I11" s="450"/>
      <c r="J11" s="422">
        <v>1</v>
      </c>
    </row>
    <row r="12" spans="1:10" ht="23.4" x14ac:dyDescent="0.3">
      <c r="B12" s="451" t="s">
        <v>157</v>
      </c>
      <c r="C12" s="452"/>
      <c r="D12" s="196"/>
      <c r="E12" s="196"/>
      <c r="F12" s="453"/>
      <c r="G12" s="454"/>
      <c r="H12" s="455"/>
      <c r="I12" s="456"/>
      <c r="J12" s="422">
        <v>1</v>
      </c>
    </row>
    <row r="13" spans="1:10" ht="23.4" x14ac:dyDescent="0.3">
      <c r="B13" s="457" t="s">
        <v>158</v>
      </c>
      <c r="C13" s="294"/>
      <c r="D13" s="196"/>
      <c r="E13" s="196"/>
      <c r="F13" s="458"/>
      <c r="G13" s="459"/>
      <c r="H13" s="458"/>
      <c r="I13" s="460"/>
      <c r="J13" s="422">
        <v>1</v>
      </c>
    </row>
    <row r="14" spans="1:10" ht="23.4" x14ac:dyDescent="0.3">
      <c r="B14" s="461" t="s">
        <v>159</v>
      </c>
      <c r="C14" s="299"/>
      <c r="D14" s="196"/>
      <c r="E14" s="196"/>
      <c r="F14" s="458"/>
      <c r="G14" s="459"/>
      <c r="H14" s="458"/>
      <c r="I14" s="460"/>
      <c r="J14" s="422">
        <v>1</v>
      </c>
    </row>
    <row r="15" spans="1:10" ht="23.4" x14ac:dyDescent="0.3">
      <c r="B15" s="462" t="s">
        <v>160</v>
      </c>
      <c r="C15" s="316"/>
      <c r="D15" s="196"/>
      <c r="E15" s="196"/>
      <c r="F15" s="458"/>
      <c r="G15" s="459"/>
      <c r="H15" s="458"/>
      <c r="I15" s="460"/>
      <c r="J15" s="422">
        <v>1</v>
      </c>
    </row>
    <row r="16" spans="1:10" ht="23.4" x14ac:dyDescent="0.3">
      <c r="B16" s="463" t="s">
        <v>161</v>
      </c>
      <c r="C16" s="321"/>
      <c r="D16" s="196"/>
      <c r="E16" s="196"/>
      <c r="F16" s="458"/>
      <c r="G16" s="459"/>
      <c r="H16" s="458"/>
      <c r="I16" s="460"/>
      <c r="J16" s="422">
        <v>1</v>
      </c>
    </row>
    <row r="17" spans="2:10" ht="23.4" x14ac:dyDescent="0.3">
      <c r="B17" s="464" t="s">
        <v>162</v>
      </c>
      <c r="C17" s="465"/>
      <c r="D17" s="196"/>
      <c r="E17" s="196"/>
      <c r="F17" s="458"/>
      <c r="G17" s="459"/>
      <c r="H17" s="458"/>
      <c r="I17" s="460"/>
      <c r="J17" s="422">
        <v>1</v>
      </c>
    </row>
    <row r="18" spans="2:10" ht="23.4" x14ac:dyDescent="0.3">
      <c r="B18" s="466" t="s">
        <v>163</v>
      </c>
      <c r="C18" s="467"/>
      <c r="D18" s="196"/>
      <c r="E18" s="196"/>
      <c r="F18" s="458"/>
      <c r="G18" s="459"/>
      <c r="H18" s="458"/>
      <c r="I18" s="460"/>
      <c r="J18" s="422">
        <v>1</v>
      </c>
    </row>
    <row r="19" spans="2:10" ht="24" thickBot="1" x14ac:dyDescent="0.35">
      <c r="B19" s="468" t="s">
        <v>164</v>
      </c>
      <c r="C19" s="260"/>
      <c r="D19" s="355"/>
      <c r="E19" s="355"/>
      <c r="F19" s="469"/>
      <c r="G19" s="470"/>
      <c r="H19" s="469"/>
      <c r="I19" s="471"/>
      <c r="J19" s="423">
        <v>1</v>
      </c>
    </row>
    <row r="20" spans="2:10" x14ac:dyDescent="0.3">
      <c r="B20" s="155" t="s">
        <v>603</v>
      </c>
      <c r="C20"/>
    </row>
    <row r="35" spans="8:8" ht="15.6" x14ac:dyDescent="0.3">
      <c r="H35" s="148"/>
    </row>
    <row r="36" spans="8:8" ht="15.6" x14ac:dyDescent="0.3">
      <c r="H36" s="148"/>
    </row>
    <row r="37" spans="8:8" ht="15.6" x14ac:dyDescent="0.3">
      <c r="H37" s="148"/>
    </row>
    <row r="38" spans="8:8" ht="15.6" x14ac:dyDescent="0.3">
      <c r="H38" s="148"/>
    </row>
    <row r="39" spans="8:8" ht="15.6" x14ac:dyDescent="0.3">
      <c r="H39" s="148"/>
    </row>
    <row r="40" spans="8:8" ht="15.6" x14ac:dyDescent="0.3">
      <c r="H40" s="148"/>
    </row>
    <row r="41" spans="8:8" ht="15.6" x14ac:dyDescent="0.3">
      <c r="H41" s="148"/>
    </row>
    <row r="42" spans="8:8" ht="15.6" x14ac:dyDescent="0.3">
      <c r="H42" s="148"/>
    </row>
    <row r="43" spans="8:8" ht="15.6" x14ac:dyDescent="0.3">
      <c r="H43" s="148"/>
    </row>
    <row r="44" spans="8:8" ht="15.6" x14ac:dyDescent="0.3">
      <c r="H44" s="148"/>
    </row>
    <row r="45" spans="8:8" ht="15.6" x14ac:dyDescent="0.3">
      <c r="H45" s="148"/>
    </row>
    <row r="46" spans="8:8" ht="15.6" x14ac:dyDescent="0.3">
      <c r="H46" s="148"/>
    </row>
    <row r="47" spans="8:8" ht="15.6" x14ac:dyDescent="0.3">
      <c r="H47" s="148"/>
    </row>
    <row r="48" spans="8:8" ht="15.6" x14ac:dyDescent="0.3">
      <c r="H48" s="148"/>
    </row>
    <row r="49" spans="1:8" ht="15.6" x14ac:dyDescent="0.3">
      <c r="H49" s="148"/>
    </row>
    <row r="55" spans="1:8" ht="0.9" customHeight="1" x14ac:dyDescent="0.3">
      <c r="A55" s="18"/>
    </row>
    <row r="56" spans="1:8" x14ac:dyDescent="0.3">
      <c r="C56" s="472" t="s">
        <v>603</v>
      </c>
    </row>
    <row r="65" spans="1:6" ht="15.6" x14ac:dyDescent="0.3">
      <c r="F65" s="23"/>
    </row>
    <row r="71" spans="1:6" x14ac:dyDescent="0.3">
      <c r="D71" s="15"/>
    </row>
    <row r="72" spans="1:6" x14ac:dyDescent="0.3">
      <c r="D72"/>
    </row>
    <row r="73" spans="1:6" x14ac:dyDescent="0.3">
      <c r="D73"/>
    </row>
    <row r="74" spans="1:6" x14ac:dyDescent="0.3">
      <c r="D74"/>
    </row>
    <row r="75" spans="1:6" x14ac:dyDescent="0.3">
      <c r="D75"/>
    </row>
    <row r="76" spans="1:6" x14ac:dyDescent="0.3">
      <c r="D76"/>
    </row>
    <row r="77" spans="1:6" x14ac:dyDescent="0.3">
      <c r="A77" s="18"/>
      <c r="D77"/>
    </row>
    <row r="78" spans="1:6" x14ac:dyDescent="0.3">
      <c r="D78"/>
    </row>
    <row r="79" spans="1:6" x14ac:dyDescent="0.3">
      <c r="D79"/>
    </row>
    <row r="80" spans="1:6" x14ac:dyDescent="0.3">
      <c r="D80"/>
    </row>
    <row r="81" spans="4:4" x14ac:dyDescent="0.3">
      <c r="D81"/>
    </row>
    <row r="82" spans="4:4" x14ac:dyDescent="0.3">
      <c r="D82"/>
    </row>
    <row r="83" spans="4:4" x14ac:dyDescent="0.3">
      <c r="D83"/>
    </row>
    <row r="84" spans="4:4" x14ac:dyDescent="0.3">
      <c r="D84"/>
    </row>
    <row r="85" spans="4:4" x14ac:dyDescent="0.3">
      <c r="D85"/>
    </row>
    <row r="86" spans="4:4" x14ac:dyDescent="0.3">
      <c r="D86"/>
    </row>
    <row r="87" spans="4:4" x14ac:dyDescent="0.3">
      <c r="D87"/>
    </row>
    <row r="88" spans="4:4" x14ac:dyDescent="0.3">
      <c r="D88"/>
    </row>
    <row r="89" spans="4:4" x14ac:dyDescent="0.3">
      <c r="D89"/>
    </row>
    <row r="90" spans="4:4" x14ac:dyDescent="0.3">
      <c r="D90"/>
    </row>
  </sheetData>
  <sheetProtection sheet="1" objects="1" scenarios="1" formatCells="0" formatColumns="0" formatRows="0" insertHyperlinks="0" selectLockedCells="1" sort="0" autoFilter="0"/>
  <conditionalFormatting sqref="D5:D19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14:D18">
    <cfRule type="iconSet" priority="10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5:F19">
    <cfRule type="expression" dxfId="18" priority="3">
      <formula>MOD(ROW(A1),2)=0</formula>
    </cfRule>
    <cfRule type="expression" dxfId="17" priority="4">
      <formula>MOD(ROW(A2),2)=0</formula>
    </cfRule>
  </conditionalFormatting>
  <conditionalFormatting sqref="E5:E19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5:G19">
    <cfRule type="iconSet" priority="7">
      <iconSet iconSet="3ArrowsGray" showValue="0">
        <cfvo type="percent" val="0"/>
        <cfvo type="num" val="2"/>
        <cfvo type="num" val="3"/>
      </iconSet>
    </cfRule>
  </conditionalFormatting>
  <conditionalFormatting sqref="G5:I19">
    <cfRule type="expression" dxfId="16" priority="13994">
      <formula>MOD(ROW(E1),2)=0</formula>
    </cfRule>
    <cfRule type="expression" dxfId="15" priority="13995">
      <formula>MOD(ROW(E2),2)=0</formula>
    </cfRule>
  </conditionalFormatting>
  <dataValidations count="2">
    <dataValidation type="list" allowBlank="1" showInputMessage="1" showErrorMessage="1" sqref="I5:I19 G5:G55" xr:uid="{00000000-0002-0000-0B00-000000000000}">
      <formula1>"1,2,3"</formula1>
    </dataValidation>
    <dataValidation type="list" allowBlank="1" showInputMessage="1" showErrorMessage="1" sqref="D5:E55" xr:uid="{00000000-0002-0000-0B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BC3A2DA6-AE26-4935-9BD3-6CA44D34B3DF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I5:I19</xm:sqref>
        </x14:conditionalFormatting>
        <x14:conditionalFormatting xmlns:xm="http://schemas.microsoft.com/office/excel/2006/main">
          <x14:cfRule type="iconSet" priority="14" id="{C10B33A4-71F1-48D3-AF3A-0C631FEBD3D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I14:I18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2">
    <tabColor theme="6" tint="0.39997558519241921"/>
  </sheetPr>
  <dimension ref="A1:O85"/>
  <sheetViews>
    <sheetView showGridLines="0" zoomScaleNormal="100" workbookViewId="0">
      <pane ySplit="1" topLeftCell="A2" activePane="bottomLeft" state="frozen"/>
      <selection activeCell="T14" sqref="T14"/>
      <selection pane="bottomLeft" activeCell="A2" sqref="A2"/>
    </sheetView>
  </sheetViews>
  <sheetFormatPr baseColWidth="10" defaultColWidth="11.44140625" defaultRowHeight="14.4" x14ac:dyDescent="0.3"/>
  <cols>
    <col min="1" max="1" width="7" style="593" customWidth="1"/>
    <col min="2" max="2" width="4.33203125" style="593" customWidth="1"/>
    <col min="3" max="3" width="49.44140625" style="593" customWidth="1"/>
    <col min="4" max="4" width="17.5546875" style="593" customWidth="1"/>
    <col min="5" max="5" width="16.109375" style="593" customWidth="1"/>
    <col min="6" max="6" width="10.6640625" style="593" customWidth="1"/>
    <col min="7" max="7" width="43.88671875" style="593" customWidth="1"/>
    <col min="8" max="8" width="6.109375" style="593" customWidth="1"/>
    <col min="9" max="9" width="0.109375" style="151" customWidth="1"/>
    <col min="10" max="10" width="11.44140625" style="593"/>
    <col min="11" max="17" width="3.44140625" style="593" customWidth="1"/>
    <col min="18" max="18" width="11.44140625" style="593" customWidth="1"/>
    <col min="19" max="16384" width="11.44140625" style="593"/>
  </cols>
  <sheetData>
    <row r="1" spans="1:15" s="586" customFormat="1" ht="43.95" customHeight="1" x14ac:dyDescent="0.3">
      <c r="A1" s="582"/>
      <c r="B1" s="583" t="str">
        <f ca="1">' '!A199</f>
        <v>M E S U R E S    D E   C O M M U N I C A T I O N</v>
      </c>
      <c r="C1" s="582"/>
      <c r="D1" s="583"/>
      <c r="E1" s="583"/>
      <c r="F1" s="583"/>
      <c r="G1" s="583"/>
      <c r="H1" s="584"/>
      <c r="I1" s="150"/>
      <c r="J1" s="585"/>
      <c r="K1" s="585"/>
      <c r="L1" s="585"/>
      <c r="M1" s="585"/>
      <c r="N1" s="585"/>
      <c r="O1" s="585"/>
    </row>
    <row r="2" spans="1:15" s="590" customFormat="1" ht="1.2" customHeight="1" x14ac:dyDescent="0.3">
      <c r="A2" s="587"/>
      <c r="B2" s="587"/>
      <c r="C2" s="587"/>
      <c r="D2" s="588"/>
      <c r="E2" s="588"/>
      <c r="F2" s="588"/>
      <c r="G2" s="588"/>
      <c r="H2" s="588"/>
      <c r="I2" s="150"/>
      <c r="J2" s="589"/>
      <c r="K2" s="589"/>
      <c r="L2" s="589"/>
      <c r="M2" s="589"/>
      <c r="N2" s="589"/>
      <c r="O2" s="589"/>
    </row>
    <row r="3" spans="1:15" ht="25.5" customHeight="1" x14ac:dyDescent="0.3">
      <c r="A3" s="591"/>
      <c r="B3" s="592"/>
    </row>
    <row r="4" spans="1:15" ht="189.75" customHeight="1" x14ac:dyDescent="0.3">
      <c r="A4" s="42" t="s">
        <v>97</v>
      </c>
      <c r="B4" s="594"/>
    </row>
    <row r="5" spans="1:15" ht="9.75" customHeight="1" x14ac:dyDescent="0.3">
      <c r="B5" s="595"/>
    </row>
    <row r="6" spans="1:15" ht="9.75" customHeight="1" x14ac:dyDescent="0.3">
      <c r="B6" s="595"/>
    </row>
    <row r="7" spans="1:15" ht="18" customHeight="1" x14ac:dyDescent="0.3">
      <c r="B7" s="596" t="str">
        <f ca="1">' '!A200</f>
        <v>Interne</v>
      </c>
      <c r="C7" s="596"/>
      <c r="D7" s="596"/>
      <c r="E7" s="596"/>
      <c r="F7" s="596"/>
      <c r="G7" s="596"/>
      <c r="H7" s="596"/>
    </row>
    <row r="8" spans="1:15" s="600" customFormat="1" ht="15.6" x14ac:dyDescent="0.3">
      <c r="A8" s="593"/>
      <c r="B8" s="597" t="str">
        <f ca="1">' '!A207</f>
        <v>No.</v>
      </c>
      <c r="C8" s="598" t="str">
        <f ca="1">' '!A208</f>
        <v>Mesure</v>
      </c>
      <c r="D8" s="598" t="str">
        <f ca="1">' '!A210</f>
        <v>Qui ?</v>
      </c>
      <c r="E8" s="598" t="str">
        <f ca="1">' '!A211</f>
        <v>Quand ?</v>
      </c>
      <c r="F8" s="598" t="str">
        <f ca="1">' '!A212</f>
        <v>Priorité</v>
      </c>
      <c r="G8" s="598" t="str">
        <f ca="1">' '!A213</f>
        <v>Remarques</v>
      </c>
      <c r="H8" s="599" t="str">
        <f ca="1">' '!A214</f>
        <v>Statut</v>
      </c>
      <c r="I8" s="152"/>
    </row>
    <row r="9" spans="1:15" s="605" customFormat="1" ht="23.4" x14ac:dyDescent="0.3">
      <c r="A9" s="593"/>
      <c r="B9" s="601">
        <v>1</v>
      </c>
      <c r="C9" s="602"/>
      <c r="D9" s="602"/>
      <c r="E9" s="602"/>
      <c r="F9" s="603">
        <v>3</v>
      </c>
      <c r="G9" s="602"/>
      <c r="H9" s="604">
        <v>1</v>
      </c>
      <c r="I9" s="153">
        <f>IF(F9=0,0.1,F9)</f>
        <v>3</v>
      </c>
      <c r="L9" s="606"/>
    </row>
    <row r="10" spans="1:15" s="605" customFormat="1" ht="23.4" x14ac:dyDescent="0.3">
      <c r="A10" s="593"/>
      <c r="B10" s="601">
        <v>2</v>
      </c>
      <c r="C10" s="602"/>
      <c r="D10" s="602"/>
      <c r="E10" s="602"/>
      <c r="F10" s="603">
        <v>4</v>
      </c>
      <c r="G10" s="602"/>
      <c r="H10" s="604"/>
      <c r="I10" s="153">
        <f t="shared" ref="I10:I18" si="0">IF(F10=0,0.1,F10)</f>
        <v>4</v>
      </c>
    </row>
    <row r="11" spans="1:15" s="605" customFormat="1" ht="23.4" x14ac:dyDescent="0.3">
      <c r="A11" s="593"/>
      <c r="B11" s="601">
        <v>3</v>
      </c>
      <c r="C11" s="602"/>
      <c r="D11" s="602"/>
      <c r="E11" s="602"/>
      <c r="F11" s="603">
        <v>1</v>
      </c>
      <c r="G11" s="602"/>
      <c r="H11" s="604"/>
      <c r="I11" s="153">
        <f t="shared" si="0"/>
        <v>1</v>
      </c>
    </row>
    <row r="12" spans="1:15" s="605" customFormat="1" ht="23.4" x14ac:dyDescent="0.3">
      <c r="A12" s="593"/>
      <c r="B12" s="601">
        <v>4</v>
      </c>
      <c r="C12" s="602"/>
      <c r="D12" s="602"/>
      <c r="E12" s="602"/>
      <c r="F12" s="603">
        <v>4</v>
      </c>
      <c r="G12" s="602"/>
      <c r="H12" s="604"/>
      <c r="I12" s="153">
        <f t="shared" si="0"/>
        <v>4</v>
      </c>
    </row>
    <row r="13" spans="1:15" s="605" customFormat="1" ht="23.4" x14ac:dyDescent="0.3">
      <c r="A13" s="593"/>
      <c r="B13" s="601">
        <v>5</v>
      </c>
      <c r="C13" s="602"/>
      <c r="D13" s="602"/>
      <c r="E13" s="602"/>
      <c r="F13" s="603"/>
      <c r="G13" s="602"/>
      <c r="H13" s="604"/>
      <c r="I13" s="153">
        <f t="shared" si="0"/>
        <v>0.1</v>
      </c>
    </row>
    <row r="14" spans="1:15" s="605" customFormat="1" ht="23.4" x14ac:dyDescent="0.3">
      <c r="A14" s="593"/>
      <c r="B14" s="601">
        <v>6</v>
      </c>
      <c r="C14" s="602"/>
      <c r="D14" s="602"/>
      <c r="E14" s="602"/>
      <c r="F14" s="603"/>
      <c r="G14" s="602"/>
      <c r="H14" s="604"/>
      <c r="I14" s="153">
        <f t="shared" si="0"/>
        <v>0.1</v>
      </c>
    </row>
    <row r="15" spans="1:15" s="605" customFormat="1" ht="23.4" x14ac:dyDescent="0.3">
      <c r="A15" s="593"/>
      <c r="B15" s="601">
        <v>7</v>
      </c>
      <c r="C15" s="602"/>
      <c r="D15" s="602"/>
      <c r="E15" s="602"/>
      <c r="F15" s="603"/>
      <c r="G15" s="602"/>
      <c r="H15" s="604"/>
      <c r="I15" s="153">
        <f t="shared" si="0"/>
        <v>0.1</v>
      </c>
    </row>
    <row r="16" spans="1:15" s="605" customFormat="1" ht="23.4" x14ac:dyDescent="0.3">
      <c r="A16" s="593"/>
      <c r="B16" s="601">
        <v>8</v>
      </c>
      <c r="C16" s="602"/>
      <c r="D16" s="602"/>
      <c r="E16" s="602"/>
      <c r="F16" s="603"/>
      <c r="G16" s="602"/>
      <c r="H16" s="604"/>
      <c r="I16" s="153">
        <f t="shared" si="0"/>
        <v>0.1</v>
      </c>
    </row>
    <row r="17" spans="1:12" s="605" customFormat="1" ht="23.4" x14ac:dyDescent="0.3">
      <c r="A17" s="593"/>
      <c r="B17" s="601">
        <v>9</v>
      </c>
      <c r="C17" s="602"/>
      <c r="D17" s="602"/>
      <c r="E17" s="602"/>
      <c r="F17" s="603"/>
      <c r="G17" s="602"/>
      <c r="H17" s="604"/>
      <c r="I17" s="153">
        <f t="shared" si="0"/>
        <v>0.1</v>
      </c>
    </row>
    <row r="18" spans="1:12" s="605" customFormat="1" ht="23.4" x14ac:dyDescent="0.3">
      <c r="A18" s="593"/>
      <c r="B18" s="601">
        <v>10</v>
      </c>
      <c r="C18" s="602"/>
      <c r="D18" s="602"/>
      <c r="E18" s="602"/>
      <c r="F18" s="603"/>
      <c r="G18" s="602"/>
      <c r="H18" s="604"/>
      <c r="I18" s="153">
        <f t="shared" si="0"/>
        <v>0.1</v>
      </c>
    </row>
    <row r="19" spans="1:12" ht="18.75" customHeight="1" x14ac:dyDescent="0.3">
      <c r="B19" s="595"/>
    </row>
    <row r="20" spans="1:12" ht="18" customHeight="1" x14ac:dyDescent="0.3">
      <c r="B20" s="596" t="str">
        <f ca="1">' '!A201</f>
        <v>Externe</v>
      </c>
      <c r="C20" s="596"/>
      <c r="D20" s="596"/>
      <c r="E20" s="596"/>
      <c r="F20" s="596"/>
      <c r="G20" s="596"/>
      <c r="H20" s="596"/>
    </row>
    <row r="21" spans="1:12" s="600" customFormat="1" ht="15.6" x14ac:dyDescent="0.3">
      <c r="A21" s="593"/>
      <c r="B21" s="597" t="str">
        <f ca="1">$B$8</f>
        <v>No.</v>
      </c>
      <c r="C21" s="598" t="str">
        <f ca="1">$C$8</f>
        <v>Mesure</v>
      </c>
      <c r="D21" s="598" t="str">
        <f ca="1">$D$8</f>
        <v>Qui ?</v>
      </c>
      <c r="E21" s="598" t="str">
        <f ca="1">$E$8</f>
        <v>Quand ?</v>
      </c>
      <c r="F21" s="598" t="str">
        <f ca="1">$F$8</f>
        <v>Priorité</v>
      </c>
      <c r="G21" s="598" t="str">
        <f ca="1">G8</f>
        <v>Remarques</v>
      </c>
      <c r="H21" s="599" t="str">
        <f ca="1">$H$8</f>
        <v>Statut</v>
      </c>
      <c r="I21" s="152"/>
    </row>
    <row r="22" spans="1:12" s="605" customFormat="1" ht="23.4" x14ac:dyDescent="0.3">
      <c r="A22" s="593"/>
      <c r="B22" s="601">
        <v>1</v>
      </c>
      <c r="C22" s="602"/>
      <c r="D22" s="602"/>
      <c r="E22" s="602"/>
      <c r="F22" s="603">
        <v>3</v>
      </c>
      <c r="G22" s="602"/>
      <c r="H22" s="604">
        <v>2</v>
      </c>
      <c r="I22" s="153">
        <f>IF(F22=0,0.1,F22)</f>
        <v>3</v>
      </c>
      <c r="L22" s="606"/>
    </row>
    <row r="23" spans="1:12" s="605" customFormat="1" ht="23.4" x14ac:dyDescent="0.3">
      <c r="A23" s="593"/>
      <c r="B23" s="601">
        <v>2</v>
      </c>
      <c r="C23" s="602"/>
      <c r="D23" s="602"/>
      <c r="E23" s="602"/>
      <c r="F23" s="603">
        <v>2</v>
      </c>
      <c r="G23" s="602"/>
      <c r="H23" s="604"/>
      <c r="I23" s="153">
        <f t="shared" ref="I23:I31" si="1">IF(F23=0,0.1,F23)</f>
        <v>2</v>
      </c>
    </row>
    <row r="24" spans="1:12" s="605" customFormat="1" ht="23.4" x14ac:dyDescent="0.3">
      <c r="A24" s="593"/>
      <c r="B24" s="601">
        <v>3</v>
      </c>
      <c r="C24" s="602"/>
      <c r="D24" s="602"/>
      <c r="E24" s="602"/>
      <c r="F24" s="603">
        <v>4</v>
      </c>
      <c r="G24" s="602"/>
      <c r="H24" s="604"/>
      <c r="I24" s="153">
        <f t="shared" si="1"/>
        <v>4</v>
      </c>
    </row>
    <row r="25" spans="1:12" s="605" customFormat="1" ht="23.4" x14ac:dyDescent="0.3">
      <c r="A25" s="593"/>
      <c r="B25" s="601">
        <v>4</v>
      </c>
      <c r="C25" s="602"/>
      <c r="D25" s="602"/>
      <c r="E25" s="602"/>
      <c r="F25" s="603">
        <v>3</v>
      </c>
      <c r="G25" s="602"/>
      <c r="H25" s="604"/>
      <c r="I25" s="153">
        <f t="shared" si="1"/>
        <v>3</v>
      </c>
    </row>
    <row r="26" spans="1:12" s="605" customFormat="1" ht="23.4" x14ac:dyDescent="0.3">
      <c r="A26" s="593"/>
      <c r="B26" s="601">
        <v>5</v>
      </c>
      <c r="C26" s="602"/>
      <c r="D26" s="602"/>
      <c r="E26" s="602"/>
      <c r="F26" s="603">
        <v>2</v>
      </c>
      <c r="G26" s="602"/>
      <c r="H26" s="604"/>
      <c r="I26" s="153">
        <f t="shared" si="1"/>
        <v>2</v>
      </c>
    </row>
    <row r="27" spans="1:12" s="605" customFormat="1" ht="23.4" x14ac:dyDescent="0.3">
      <c r="A27" s="593"/>
      <c r="B27" s="601">
        <v>6</v>
      </c>
      <c r="C27" s="602"/>
      <c r="D27" s="602"/>
      <c r="E27" s="602"/>
      <c r="F27" s="603"/>
      <c r="G27" s="602"/>
      <c r="H27" s="604"/>
      <c r="I27" s="153">
        <f t="shared" si="1"/>
        <v>0.1</v>
      </c>
    </row>
    <row r="28" spans="1:12" s="605" customFormat="1" ht="23.4" x14ac:dyDescent="0.3">
      <c r="A28" s="593"/>
      <c r="B28" s="601">
        <v>7</v>
      </c>
      <c r="C28" s="602"/>
      <c r="D28" s="602"/>
      <c r="E28" s="602"/>
      <c r="F28" s="603"/>
      <c r="G28" s="602"/>
      <c r="H28" s="604"/>
      <c r="I28" s="153">
        <f t="shared" si="1"/>
        <v>0.1</v>
      </c>
    </row>
    <row r="29" spans="1:12" s="605" customFormat="1" ht="23.4" x14ac:dyDescent="0.3">
      <c r="A29" s="593"/>
      <c r="B29" s="601">
        <v>8</v>
      </c>
      <c r="C29" s="602"/>
      <c r="D29" s="602"/>
      <c r="E29" s="602"/>
      <c r="F29" s="603"/>
      <c r="G29" s="602"/>
      <c r="H29" s="604"/>
      <c r="I29" s="153">
        <f t="shared" si="1"/>
        <v>0.1</v>
      </c>
    </row>
    <row r="30" spans="1:12" s="605" customFormat="1" ht="23.4" x14ac:dyDescent="0.3">
      <c r="A30" s="593"/>
      <c r="B30" s="601">
        <v>9</v>
      </c>
      <c r="C30" s="602"/>
      <c r="D30" s="602"/>
      <c r="E30" s="602"/>
      <c r="F30" s="603"/>
      <c r="G30" s="602"/>
      <c r="H30" s="604"/>
      <c r="I30" s="153">
        <f t="shared" si="1"/>
        <v>0.1</v>
      </c>
    </row>
    <row r="31" spans="1:12" s="605" customFormat="1" ht="23.4" x14ac:dyDescent="0.3">
      <c r="A31" s="593"/>
      <c r="B31" s="601">
        <v>10</v>
      </c>
      <c r="C31" s="602"/>
      <c r="D31" s="602"/>
      <c r="E31" s="602"/>
      <c r="F31" s="603"/>
      <c r="G31" s="602"/>
      <c r="H31" s="604"/>
      <c r="I31" s="153">
        <f t="shared" si="1"/>
        <v>0.1</v>
      </c>
    </row>
    <row r="32" spans="1:12" ht="18.75" customHeight="1" x14ac:dyDescent="0.3">
      <c r="B32" s="595"/>
    </row>
    <row r="33" spans="1:12" ht="18" customHeight="1" x14ac:dyDescent="0.3">
      <c r="B33" s="607" t="str">
        <f ca="1">' '!A202</f>
        <v>Internet</v>
      </c>
      <c r="C33" s="608"/>
      <c r="D33" s="608"/>
      <c r="E33" s="608"/>
      <c r="F33" s="608"/>
      <c r="G33" s="608"/>
      <c r="H33" s="609"/>
    </row>
    <row r="34" spans="1:12" s="600" customFormat="1" ht="21" customHeight="1" x14ac:dyDescent="0.3">
      <c r="A34" s="593"/>
      <c r="B34" s="610" t="str">
        <f ca="1">$B$8</f>
        <v>No.</v>
      </c>
      <c r="C34" s="611" t="str">
        <f ca="1">$C$8</f>
        <v>Mesure</v>
      </c>
      <c r="D34" s="611" t="str">
        <f ca="1">$D$8</f>
        <v>Qui ?</v>
      </c>
      <c r="E34" s="611" t="str">
        <f ca="1">$E$8</f>
        <v>Quand ?</v>
      </c>
      <c r="F34" s="611" t="str">
        <f ca="1">$F$8</f>
        <v>Priorité</v>
      </c>
      <c r="G34" s="611" t="str">
        <f ca="1">G21</f>
        <v>Remarques</v>
      </c>
      <c r="H34" s="612" t="str">
        <f ca="1">$H$8</f>
        <v>Statut</v>
      </c>
      <c r="I34" s="152"/>
    </row>
    <row r="35" spans="1:12" s="605" customFormat="1" ht="23.4" x14ac:dyDescent="0.3">
      <c r="A35" s="593"/>
      <c r="B35" s="601">
        <v>1</v>
      </c>
      <c r="C35" s="602"/>
      <c r="D35" s="602"/>
      <c r="E35" s="602"/>
      <c r="F35" s="603">
        <v>1</v>
      </c>
      <c r="G35" s="602"/>
      <c r="H35" s="604">
        <v>2</v>
      </c>
      <c r="I35" s="153">
        <f>IF(F35=0,0.1,F35)</f>
        <v>1</v>
      </c>
      <c r="L35" s="606"/>
    </row>
    <row r="36" spans="1:12" s="605" customFormat="1" ht="23.4" x14ac:dyDescent="0.3">
      <c r="A36" s="593"/>
      <c r="B36" s="601">
        <v>2</v>
      </c>
      <c r="C36" s="602"/>
      <c r="D36" s="602"/>
      <c r="E36" s="602"/>
      <c r="F36" s="603">
        <v>2</v>
      </c>
      <c r="G36" s="602"/>
      <c r="H36" s="604"/>
      <c r="I36" s="153">
        <f t="shared" ref="I36:I44" si="2">IF(F36=0,0.1,F36)</f>
        <v>2</v>
      </c>
    </row>
    <row r="37" spans="1:12" s="605" customFormat="1" ht="23.4" x14ac:dyDescent="0.3">
      <c r="A37" s="593"/>
      <c r="B37" s="601">
        <v>3</v>
      </c>
      <c r="C37" s="602"/>
      <c r="D37" s="602"/>
      <c r="E37" s="602"/>
      <c r="F37" s="603"/>
      <c r="G37" s="602"/>
      <c r="H37" s="604"/>
      <c r="I37" s="153">
        <f t="shared" si="2"/>
        <v>0.1</v>
      </c>
    </row>
    <row r="38" spans="1:12" s="605" customFormat="1" ht="23.4" x14ac:dyDescent="0.3">
      <c r="A38" s="593"/>
      <c r="B38" s="601">
        <v>4</v>
      </c>
      <c r="C38" s="602"/>
      <c r="D38" s="602"/>
      <c r="E38" s="602"/>
      <c r="F38" s="603"/>
      <c r="G38" s="602"/>
      <c r="H38" s="604"/>
      <c r="I38" s="153">
        <f t="shared" si="2"/>
        <v>0.1</v>
      </c>
    </row>
    <row r="39" spans="1:12" s="605" customFormat="1" ht="23.4" x14ac:dyDescent="0.3">
      <c r="A39" s="593"/>
      <c r="B39" s="601">
        <v>5</v>
      </c>
      <c r="C39" s="602"/>
      <c r="D39" s="602"/>
      <c r="E39" s="602"/>
      <c r="F39" s="603"/>
      <c r="G39" s="602"/>
      <c r="H39" s="604"/>
      <c r="I39" s="153">
        <f t="shared" si="2"/>
        <v>0.1</v>
      </c>
    </row>
    <row r="40" spans="1:12" s="605" customFormat="1" ht="23.4" x14ac:dyDescent="0.3">
      <c r="A40" s="593"/>
      <c r="B40" s="601">
        <v>6</v>
      </c>
      <c r="C40" s="602"/>
      <c r="D40" s="602"/>
      <c r="E40" s="602"/>
      <c r="F40" s="603"/>
      <c r="G40" s="602"/>
      <c r="H40" s="604"/>
      <c r="I40" s="153">
        <f t="shared" si="2"/>
        <v>0.1</v>
      </c>
    </row>
    <row r="41" spans="1:12" s="605" customFormat="1" ht="23.4" x14ac:dyDescent="0.3">
      <c r="A41" s="593"/>
      <c r="B41" s="601">
        <v>7</v>
      </c>
      <c r="C41" s="602"/>
      <c r="D41" s="602"/>
      <c r="E41" s="602"/>
      <c r="F41" s="603"/>
      <c r="G41" s="602"/>
      <c r="H41" s="604"/>
      <c r="I41" s="153">
        <f t="shared" si="2"/>
        <v>0.1</v>
      </c>
    </row>
    <row r="42" spans="1:12" s="605" customFormat="1" ht="23.4" x14ac:dyDescent="0.3">
      <c r="A42" s="593"/>
      <c r="B42" s="601">
        <v>8</v>
      </c>
      <c r="C42" s="602"/>
      <c r="D42" s="602"/>
      <c r="E42" s="602"/>
      <c r="F42" s="603"/>
      <c r="G42" s="602"/>
      <c r="H42" s="604"/>
      <c r="I42" s="153">
        <f t="shared" si="2"/>
        <v>0.1</v>
      </c>
    </row>
    <row r="43" spans="1:12" s="605" customFormat="1" ht="23.4" x14ac:dyDescent="0.3">
      <c r="A43" s="593"/>
      <c r="B43" s="601">
        <v>9</v>
      </c>
      <c r="C43" s="602"/>
      <c r="D43" s="602"/>
      <c r="E43" s="602"/>
      <c r="F43" s="603"/>
      <c r="G43" s="602"/>
      <c r="H43" s="604"/>
      <c r="I43" s="153">
        <f t="shared" si="2"/>
        <v>0.1</v>
      </c>
    </row>
    <row r="44" spans="1:12" s="605" customFormat="1" ht="23.4" x14ac:dyDescent="0.3">
      <c r="A44" s="593"/>
      <c r="B44" s="601">
        <v>10</v>
      </c>
      <c r="C44" s="602"/>
      <c r="D44" s="602"/>
      <c r="E44" s="602"/>
      <c r="F44" s="603"/>
      <c r="G44" s="602"/>
      <c r="H44" s="604"/>
      <c r="I44" s="153">
        <f t="shared" si="2"/>
        <v>0.1</v>
      </c>
    </row>
    <row r="45" spans="1:12" ht="18.75" customHeight="1" x14ac:dyDescent="0.3">
      <c r="B45" s="595"/>
    </row>
    <row r="46" spans="1:12" ht="18" customHeight="1" x14ac:dyDescent="0.3">
      <c r="B46" s="596" t="str">
        <f ca="1">' '!A203</f>
        <v>Social Medias</v>
      </c>
      <c r="C46" s="596"/>
      <c r="D46" s="596"/>
      <c r="E46" s="596"/>
      <c r="F46" s="596"/>
      <c r="G46" s="596"/>
      <c r="H46" s="596"/>
    </row>
    <row r="47" spans="1:12" s="600" customFormat="1" ht="18.75" customHeight="1" x14ac:dyDescent="0.3">
      <c r="A47" s="593"/>
      <c r="B47" s="597" t="str">
        <f ca="1">$B$8</f>
        <v>No.</v>
      </c>
      <c r="C47" s="598" t="str">
        <f ca="1">$C$8</f>
        <v>Mesure</v>
      </c>
      <c r="D47" s="598" t="str">
        <f ca="1">$D$8</f>
        <v>Qui ?</v>
      </c>
      <c r="E47" s="598" t="str">
        <f ca="1">$E$8</f>
        <v>Quand ?</v>
      </c>
      <c r="F47" s="598" t="str">
        <f ca="1">$F$8</f>
        <v>Priorité</v>
      </c>
      <c r="G47" s="598" t="str">
        <f ca="1">G34</f>
        <v>Remarques</v>
      </c>
      <c r="H47" s="599" t="str">
        <f ca="1">$H$8</f>
        <v>Statut</v>
      </c>
      <c r="I47" s="152"/>
    </row>
    <row r="48" spans="1:12" s="605" customFormat="1" ht="23.4" x14ac:dyDescent="0.3">
      <c r="A48" s="593"/>
      <c r="B48" s="601">
        <v>1</v>
      </c>
      <c r="C48" s="602"/>
      <c r="D48" s="602"/>
      <c r="E48" s="602"/>
      <c r="F48" s="603">
        <v>3</v>
      </c>
      <c r="G48" s="602"/>
      <c r="H48" s="604">
        <v>2</v>
      </c>
      <c r="I48" s="153">
        <f>IF(F48=0,0.1,F48)</f>
        <v>3</v>
      </c>
      <c r="L48" s="606"/>
    </row>
    <row r="49" spans="1:12" s="605" customFormat="1" ht="23.4" x14ac:dyDescent="0.3">
      <c r="A49" s="593"/>
      <c r="B49" s="601">
        <v>2</v>
      </c>
      <c r="C49" s="602"/>
      <c r="D49" s="602"/>
      <c r="E49" s="602"/>
      <c r="F49" s="603">
        <v>2</v>
      </c>
      <c r="G49" s="602"/>
      <c r="H49" s="604"/>
      <c r="I49" s="153">
        <f t="shared" ref="I49:I57" si="3">IF(F49=0,0.1,F49)</f>
        <v>2</v>
      </c>
    </row>
    <row r="50" spans="1:12" s="605" customFormat="1" ht="23.4" x14ac:dyDescent="0.3">
      <c r="A50" s="593"/>
      <c r="B50" s="601">
        <v>3</v>
      </c>
      <c r="C50" s="602"/>
      <c r="D50" s="602"/>
      <c r="E50" s="602"/>
      <c r="F50" s="603">
        <v>4</v>
      </c>
      <c r="G50" s="602"/>
      <c r="H50" s="604"/>
      <c r="I50" s="153">
        <f t="shared" si="3"/>
        <v>4</v>
      </c>
    </row>
    <row r="51" spans="1:12" s="605" customFormat="1" ht="23.4" x14ac:dyDescent="0.3">
      <c r="A51" s="593"/>
      <c r="B51" s="601">
        <v>4</v>
      </c>
      <c r="C51" s="602"/>
      <c r="D51" s="602"/>
      <c r="E51" s="602"/>
      <c r="F51" s="603"/>
      <c r="G51" s="602"/>
      <c r="H51" s="604"/>
      <c r="I51" s="153">
        <f t="shared" si="3"/>
        <v>0.1</v>
      </c>
    </row>
    <row r="52" spans="1:12" s="605" customFormat="1" ht="23.4" x14ac:dyDescent="0.3">
      <c r="A52" s="593"/>
      <c r="B52" s="601">
        <v>5</v>
      </c>
      <c r="C52" s="602"/>
      <c r="D52" s="602"/>
      <c r="E52" s="602"/>
      <c r="F52" s="603"/>
      <c r="G52" s="602"/>
      <c r="H52" s="604"/>
      <c r="I52" s="153">
        <f t="shared" si="3"/>
        <v>0.1</v>
      </c>
    </row>
    <row r="53" spans="1:12" s="605" customFormat="1" ht="23.4" x14ac:dyDescent="0.3">
      <c r="A53" s="593"/>
      <c r="B53" s="601">
        <v>6</v>
      </c>
      <c r="C53" s="602"/>
      <c r="D53" s="602"/>
      <c r="E53" s="602"/>
      <c r="F53" s="603"/>
      <c r="G53" s="602"/>
      <c r="H53" s="604"/>
      <c r="I53" s="153">
        <f t="shared" si="3"/>
        <v>0.1</v>
      </c>
    </row>
    <row r="54" spans="1:12" s="605" customFormat="1" ht="23.4" x14ac:dyDescent="0.3">
      <c r="A54" s="593"/>
      <c r="B54" s="601">
        <v>7</v>
      </c>
      <c r="C54" s="602"/>
      <c r="D54" s="602"/>
      <c r="E54" s="602"/>
      <c r="F54" s="603"/>
      <c r="G54" s="602"/>
      <c r="H54" s="604"/>
      <c r="I54" s="153">
        <f t="shared" si="3"/>
        <v>0.1</v>
      </c>
    </row>
    <row r="55" spans="1:12" s="605" customFormat="1" ht="23.4" x14ac:dyDescent="0.3">
      <c r="A55" s="593"/>
      <c r="B55" s="601">
        <v>8</v>
      </c>
      <c r="C55" s="602"/>
      <c r="D55" s="602"/>
      <c r="E55" s="602"/>
      <c r="F55" s="603"/>
      <c r="G55" s="602"/>
      <c r="H55" s="604"/>
      <c r="I55" s="153">
        <f t="shared" si="3"/>
        <v>0.1</v>
      </c>
    </row>
    <row r="56" spans="1:12" s="605" customFormat="1" ht="23.4" x14ac:dyDescent="0.3">
      <c r="A56" s="593"/>
      <c r="B56" s="601">
        <v>9</v>
      </c>
      <c r="C56" s="602"/>
      <c r="D56" s="602"/>
      <c r="E56" s="602"/>
      <c r="F56" s="603"/>
      <c r="G56" s="602"/>
      <c r="H56" s="604"/>
      <c r="I56" s="153">
        <f t="shared" si="3"/>
        <v>0.1</v>
      </c>
    </row>
    <row r="57" spans="1:12" s="605" customFormat="1" ht="23.4" x14ac:dyDescent="0.3">
      <c r="A57" s="593"/>
      <c r="B57" s="601">
        <v>10</v>
      </c>
      <c r="C57" s="602"/>
      <c r="D57" s="602"/>
      <c r="E57" s="602"/>
      <c r="F57" s="603"/>
      <c r="G57" s="602"/>
      <c r="H57" s="604"/>
      <c r="I57" s="153">
        <f t="shared" si="3"/>
        <v>0.1</v>
      </c>
    </row>
    <row r="58" spans="1:12" ht="18.75" customHeight="1" x14ac:dyDescent="0.3">
      <c r="B58" s="595"/>
    </row>
    <row r="59" spans="1:12" ht="18" customHeight="1" x14ac:dyDescent="0.3">
      <c r="B59" s="596" t="str">
        <f ca="1">' '!A204</f>
        <v>Relations publiques</v>
      </c>
      <c r="C59" s="596"/>
      <c r="D59" s="596"/>
      <c r="E59" s="596"/>
      <c r="F59" s="596"/>
      <c r="G59" s="596"/>
      <c r="H59" s="596"/>
    </row>
    <row r="60" spans="1:12" s="600" customFormat="1" ht="18.75" customHeight="1" x14ac:dyDescent="0.3">
      <c r="A60" s="593"/>
      <c r="B60" s="597" t="str">
        <f ca="1">$B$8</f>
        <v>No.</v>
      </c>
      <c r="C60" s="598" t="str">
        <f ca="1">$C$8</f>
        <v>Mesure</v>
      </c>
      <c r="D60" s="598" t="str">
        <f ca="1">$D$8</f>
        <v>Qui ?</v>
      </c>
      <c r="E60" s="598" t="str">
        <f ca="1">$E$8</f>
        <v>Quand ?</v>
      </c>
      <c r="F60" s="598" t="str">
        <f ca="1">$F$8</f>
        <v>Priorité</v>
      </c>
      <c r="G60" s="598" t="str">
        <f ca="1">G47</f>
        <v>Remarques</v>
      </c>
      <c r="H60" s="599" t="str">
        <f ca="1">$H$8</f>
        <v>Statut</v>
      </c>
      <c r="I60" s="152"/>
    </row>
    <row r="61" spans="1:12" s="605" customFormat="1" ht="23.4" x14ac:dyDescent="0.3">
      <c r="A61" s="593"/>
      <c r="B61" s="601">
        <v>1</v>
      </c>
      <c r="C61" s="602"/>
      <c r="D61" s="602"/>
      <c r="E61" s="602"/>
      <c r="F61" s="603">
        <v>4</v>
      </c>
      <c r="G61" s="602"/>
      <c r="H61" s="604">
        <v>2</v>
      </c>
      <c r="I61" s="153">
        <f>IF(F61=0,0.1,F61)</f>
        <v>4</v>
      </c>
      <c r="L61" s="606"/>
    </row>
    <row r="62" spans="1:12" s="605" customFormat="1" ht="23.4" x14ac:dyDescent="0.3">
      <c r="A62" s="593"/>
      <c r="B62" s="601">
        <v>2</v>
      </c>
      <c r="C62" s="602"/>
      <c r="D62" s="602"/>
      <c r="E62" s="602"/>
      <c r="F62" s="603">
        <v>2</v>
      </c>
      <c r="G62" s="602"/>
      <c r="H62" s="604"/>
      <c r="I62" s="153">
        <f t="shared" ref="I62:I70" si="4">IF(F62=0,0.1,F62)</f>
        <v>2</v>
      </c>
    </row>
    <row r="63" spans="1:12" s="605" customFormat="1" ht="23.4" x14ac:dyDescent="0.3">
      <c r="A63" s="593"/>
      <c r="B63" s="601">
        <v>3</v>
      </c>
      <c r="C63" s="602"/>
      <c r="D63" s="602"/>
      <c r="E63" s="602"/>
      <c r="F63" s="603">
        <v>3</v>
      </c>
      <c r="G63" s="602"/>
      <c r="H63" s="604"/>
      <c r="I63" s="153">
        <f t="shared" si="4"/>
        <v>3</v>
      </c>
    </row>
    <row r="64" spans="1:12" s="605" customFormat="1" ht="23.4" x14ac:dyDescent="0.3">
      <c r="A64" s="593"/>
      <c r="B64" s="601">
        <v>4</v>
      </c>
      <c r="C64" s="602"/>
      <c r="D64" s="602"/>
      <c r="E64" s="602"/>
      <c r="F64" s="603"/>
      <c r="G64" s="602"/>
      <c r="H64" s="604"/>
      <c r="I64" s="153">
        <f t="shared" si="4"/>
        <v>0.1</v>
      </c>
    </row>
    <row r="65" spans="1:12" s="605" customFormat="1" ht="23.4" x14ac:dyDescent="0.3">
      <c r="A65" s="593"/>
      <c r="B65" s="601">
        <v>5</v>
      </c>
      <c r="C65" s="602"/>
      <c r="D65" s="602"/>
      <c r="E65" s="602"/>
      <c r="F65" s="603"/>
      <c r="G65" s="602"/>
      <c r="H65" s="604"/>
      <c r="I65" s="153">
        <f t="shared" si="4"/>
        <v>0.1</v>
      </c>
    </row>
    <row r="66" spans="1:12" s="605" customFormat="1" ht="23.4" x14ac:dyDescent="0.3">
      <c r="A66" s="593"/>
      <c r="B66" s="601">
        <v>6</v>
      </c>
      <c r="C66" s="602"/>
      <c r="D66" s="602"/>
      <c r="E66" s="602"/>
      <c r="F66" s="603"/>
      <c r="G66" s="602"/>
      <c r="H66" s="604"/>
      <c r="I66" s="153">
        <f t="shared" si="4"/>
        <v>0.1</v>
      </c>
    </row>
    <row r="67" spans="1:12" s="605" customFormat="1" ht="23.4" x14ac:dyDescent="0.3">
      <c r="A67" s="593"/>
      <c r="B67" s="601">
        <v>7</v>
      </c>
      <c r="C67" s="602"/>
      <c r="D67" s="602"/>
      <c r="E67" s="602"/>
      <c r="F67" s="603"/>
      <c r="G67" s="602"/>
      <c r="H67" s="604"/>
      <c r="I67" s="153">
        <f t="shared" si="4"/>
        <v>0.1</v>
      </c>
    </row>
    <row r="68" spans="1:12" s="605" customFormat="1" ht="23.4" x14ac:dyDescent="0.3">
      <c r="A68" s="593"/>
      <c r="B68" s="601">
        <v>8</v>
      </c>
      <c r="C68" s="602"/>
      <c r="D68" s="602"/>
      <c r="E68" s="602"/>
      <c r="F68" s="603"/>
      <c r="G68" s="602"/>
      <c r="H68" s="604"/>
      <c r="I68" s="153">
        <f t="shared" si="4"/>
        <v>0.1</v>
      </c>
    </row>
    <row r="69" spans="1:12" s="605" customFormat="1" ht="23.4" x14ac:dyDescent="0.3">
      <c r="A69" s="593"/>
      <c r="B69" s="601">
        <v>9</v>
      </c>
      <c r="C69" s="602"/>
      <c r="D69" s="602"/>
      <c r="E69" s="602"/>
      <c r="F69" s="603"/>
      <c r="G69" s="602"/>
      <c r="H69" s="604"/>
      <c r="I69" s="153">
        <f t="shared" si="4"/>
        <v>0.1</v>
      </c>
    </row>
    <row r="70" spans="1:12" s="605" customFormat="1" ht="23.4" x14ac:dyDescent="0.3">
      <c r="A70" s="593"/>
      <c r="B70" s="601">
        <v>10</v>
      </c>
      <c r="C70" s="602"/>
      <c r="D70" s="602"/>
      <c r="E70" s="602"/>
      <c r="F70" s="603"/>
      <c r="G70" s="602"/>
      <c r="H70" s="604"/>
      <c r="I70" s="153">
        <f t="shared" si="4"/>
        <v>0.1</v>
      </c>
    </row>
    <row r="71" spans="1:12" ht="18.75" customHeight="1" x14ac:dyDescent="0.3">
      <c r="B71" s="595"/>
    </row>
    <row r="72" spans="1:12" ht="18" customHeight="1" x14ac:dyDescent="0.3">
      <c r="B72" s="596" t="str">
        <f ca="1">' '!A205</f>
        <v>Divers</v>
      </c>
      <c r="C72" s="596"/>
      <c r="D72" s="596"/>
      <c r="E72" s="596"/>
      <c r="F72" s="596"/>
      <c r="G72" s="596"/>
      <c r="H72" s="596"/>
    </row>
    <row r="73" spans="1:12" s="600" customFormat="1" ht="18.75" customHeight="1" x14ac:dyDescent="0.3">
      <c r="A73" s="593"/>
      <c r="B73" s="597" t="str">
        <f ca="1">$B$8</f>
        <v>No.</v>
      </c>
      <c r="C73" s="598" t="str">
        <f ca="1">$C$8</f>
        <v>Mesure</v>
      </c>
      <c r="D73" s="598" t="str">
        <f ca="1">$D$8</f>
        <v>Qui ?</v>
      </c>
      <c r="E73" s="598" t="str">
        <f ca="1">$E$8</f>
        <v>Quand ?</v>
      </c>
      <c r="F73" s="598" t="str">
        <f ca="1">$F$8</f>
        <v>Priorité</v>
      </c>
      <c r="G73" s="598" t="str">
        <f ca="1">G60</f>
        <v>Remarques</v>
      </c>
      <c r="H73" s="599" t="str">
        <f ca="1">$H$8</f>
        <v>Statut</v>
      </c>
      <c r="I73" s="152"/>
    </row>
    <row r="74" spans="1:12" s="605" customFormat="1" ht="23.4" x14ac:dyDescent="0.3">
      <c r="A74" s="593"/>
      <c r="B74" s="601">
        <v>1</v>
      </c>
      <c r="C74" s="602"/>
      <c r="D74" s="602"/>
      <c r="E74" s="602"/>
      <c r="F74" s="603">
        <v>1</v>
      </c>
      <c r="G74" s="602"/>
      <c r="H74" s="604">
        <v>2</v>
      </c>
      <c r="I74" s="153">
        <f>IF(F74=0,0.1,F74)</f>
        <v>1</v>
      </c>
      <c r="L74" s="606"/>
    </row>
    <row r="75" spans="1:12" s="605" customFormat="1" ht="23.4" x14ac:dyDescent="0.3">
      <c r="A75" s="593"/>
      <c r="B75" s="601">
        <v>2</v>
      </c>
      <c r="C75" s="602"/>
      <c r="D75" s="602"/>
      <c r="E75" s="602"/>
      <c r="F75" s="603">
        <v>3</v>
      </c>
      <c r="G75" s="602"/>
      <c r="H75" s="604"/>
      <c r="I75" s="153">
        <f t="shared" ref="I75:I83" si="5">IF(F75=0,0.1,F75)</f>
        <v>3</v>
      </c>
    </row>
    <row r="76" spans="1:12" s="605" customFormat="1" ht="23.4" x14ac:dyDescent="0.3">
      <c r="A76" s="593"/>
      <c r="B76" s="601">
        <v>3</v>
      </c>
      <c r="C76" s="602"/>
      <c r="D76" s="602"/>
      <c r="E76" s="602"/>
      <c r="F76" s="603"/>
      <c r="G76" s="602"/>
      <c r="H76" s="604"/>
      <c r="I76" s="153">
        <f t="shared" si="5"/>
        <v>0.1</v>
      </c>
    </row>
    <row r="77" spans="1:12" s="605" customFormat="1" ht="23.4" x14ac:dyDescent="0.3">
      <c r="A77" s="593"/>
      <c r="B77" s="601">
        <v>4</v>
      </c>
      <c r="C77" s="602"/>
      <c r="D77" s="602"/>
      <c r="E77" s="602"/>
      <c r="F77" s="603"/>
      <c r="G77" s="602"/>
      <c r="H77" s="604"/>
      <c r="I77" s="153">
        <f t="shared" si="5"/>
        <v>0.1</v>
      </c>
    </row>
    <row r="78" spans="1:12" s="605" customFormat="1" ht="23.4" x14ac:dyDescent="0.3">
      <c r="A78" s="593"/>
      <c r="B78" s="601">
        <v>5</v>
      </c>
      <c r="C78" s="602"/>
      <c r="D78" s="602"/>
      <c r="E78" s="602"/>
      <c r="F78" s="603"/>
      <c r="G78" s="602"/>
      <c r="H78" s="604"/>
      <c r="I78" s="153">
        <f t="shared" si="5"/>
        <v>0.1</v>
      </c>
    </row>
    <row r="79" spans="1:12" s="605" customFormat="1" ht="23.4" x14ac:dyDescent="0.3">
      <c r="A79" s="593"/>
      <c r="B79" s="601">
        <v>6</v>
      </c>
      <c r="C79" s="602"/>
      <c r="D79" s="602"/>
      <c r="E79" s="602"/>
      <c r="F79" s="603"/>
      <c r="G79" s="602"/>
      <c r="H79" s="604"/>
      <c r="I79" s="153">
        <f t="shared" si="5"/>
        <v>0.1</v>
      </c>
    </row>
    <row r="80" spans="1:12" s="605" customFormat="1" ht="23.4" x14ac:dyDescent="0.3">
      <c r="A80" s="593"/>
      <c r="B80" s="601">
        <v>7</v>
      </c>
      <c r="C80" s="602"/>
      <c r="D80" s="602"/>
      <c r="E80" s="602"/>
      <c r="F80" s="603"/>
      <c r="G80" s="602"/>
      <c r="H80" s="604"/>
      <c r="I80" s="153">
        <f t="shared" si="5"/>
        <v>0.1</v>
      </c>
    </row>
    <row r="81" spans="1:9" s="605" customFormat="1" ht="23.4" x14ac:dyDescent="0.3">
      <c r="A81" s="593"/>
      <c r="B81" s="601">
        <v>8</v>
      </c>
      <c r="C81" s="602"/>
      <c r="D81" s="602"/>
      <c r="E81" s="602"/>
      <c r="F81" s="603"/>
      <c r="G81" s="602"/>
      <c r="H81" s="604"/>
      <c r="I81" s="153">
        <f t="shared" si="5"/>
        <v>0.1</v>
      </c>
    </row>
    <row r="82" spans="1:9" s="605" customFormat="1" ht="23.4" x14ac:dyDescent="0.3">
      <c r="A82" s="593"/>
      <c r="B82" s="601">
        <v>9</v>
      </c>
      <c r="C82" s="602"/>
      <c r="D82" s="602"/>
      <c r="E82" s="602"/>
      <c r="F82" s="603"/>
      <c r="G82" s="602"/>
      <c r="H82" s="604"/>
      <c r="I82" s="153">
        <f t="shared" si="5"/>
        <v>0.1</v>
      </c>
    </row>
    <row r="83" spans="1:9" s="605" customFormat="1" ht="23.4" x14ac:dyDescent="0.3">
      <c r="A83" s="593"/>
      <c r="B83" s="601">
        <v>10</v>
      </c>
      <c r="C83" s="602"/>
      <c r="D83" s="602"/>
      <c r="E83" s="602"/>
      <c r="F83" s="603"/>
      <c r="G83" s="602"/>
      <c r="H83" s="604"/>
      <c r="I83" s="153">
        <f t="shared" si="5"/>
        <v>0.1</v>
      </c>
    </row>
    <row r="84" spans="1:9" ht="18.75" customHeight="1" x14ac:dyDescent="0.3">
      <c r="B84" s="613" t="s">
        <v>603</v>
      </c>
    </row>
    <row r="85" spans="1:9" ht="18.75" customHeight="1" x14ac:dyDescent="0.3">
      <c r="B85" s="613"/>
      <c r="C85"/>
    </row>
  </sheetData>
  <sheetProtection sheet="1" objects="1" scenarios="1" formatCells="0" formatColumns="0" formatRows="0" insertHyperlinks="0" selectLockedCells="1" sort="0" autoFilter="0"/>
  <conditionalFormatting sqref="B9:H18 B22:H31 B35:H44 B48:H57 B61:H70 B74:H83">
    <cfRule type="expression" dxfId="14" priority="3">
      <formula>MOD(ROW(XFD1),2)=0</formula>
    </cfRule>
    <cfRule type="expression" dxfId="13" priority="4">
      <formula>MOD(ROW(A2),2)=0</formula>
    </cfRule>
  </conditionalFormatting>
  <conditionalFormatting sqref="C22:C31 C35:C44 C48:C57 C61:C70 C74:C83">
    <cfRule type="expression" dxfId="12" priority="14046">
      <formula>MOD(ROW(A14),2)=0</formula>
    </cfRule>
    <cfRule type="expression" dxfId="11" priority="14047">
      <formula>MOD(ROW(A15),2)=0</formula>
    </cfRule>
  </conditionalFormatting>
  <conditionalFormatting sqref="H9:H18">
    <cfRule type="iconSet" priority="1">
      <iconSet iconSet="3Symbols2" showValue="0" reverse="1">
        <cfvo type="percent" val="0"/>
        <cfvo type="num" val="2"/>
        <cfvo type="num" val="3"/>
      </iconSet>
    </cfRule>
  </conditionalFormatting>
  <conditionalFormatting sqref="H22:H31">
    <cfRule type="iconSet" priority="9">
      <iconSet iconSet="3Symbols2" showValue="0" reverse="1">
        <cfvo type="percent" val="0"/>
        <cfvo type="num" val="2"/>
        <cfvo type="num" val="3"/>
      </iconSet>
    </cfRule>
  </conditionalFormatting>
  <conditionalFormatting sqref="H35:H44">
    <cfRule type="iconSet" priority="41">
      <iconSet iconSet="3Symbols2" showValue="0" reverse="1">
        <cfvo type="percent" val="0"/>
        <cfvo type="num" val="2"/>
        <cfvo type="num" val="3"/>
      </iconSet>
    </cfRule>
  </conditionalFormatting>
  <conditionalFormatting sqref="H48:H57">
    <cfRule type="iconSet" priority="37">
      <iconSet iconSet="3Symbols2" showValue="0" reverse="1">
        <cfvo type="percent" val="0"/>
        <cfvo type="num" val="2"/>
        <cfvo type="num" val="3"/>
      </iconSet>
    </cfRule>
  </conditionalFormatting>
  <conditionalFormatting sqref="H61:H70">
    <cfRule type="iconSet" priority="33">
      <iconSet iconSet="3Symbols2" showValue="0" reverse="1">
        <cfvo type="percent" val="0"/>
        <cfvo type="num" val="2"/>
        <cfvo type="num" val="3"/>
      </iconSet>
    </cfRule>
  </conditionalFormatting>
  <conditionalFormatting sqref="H74:H83">
    <cfRule type="iconSet" priority="22">
      <iconSet iconSet="3Symbols2" showValue="0" reverse="1">
        <cfvo type="percent" val="0"/>
        <cfvo type="num" val="2"/>
        <cfvo type="num" val="3"/>
      </iconSet>
    </cfRule>
  </conditionalFormatting>
  <dataValidations count="3">
    <dataValidation type="list" showInputMessage="1" showErrorMessage="1" sqref="H9:H18 H22:H32 H35:H45 H48:H58 H61:H71 H74:H85" xr:uid="{00000000-0002-0000-0C00-000000000000}">
      <formula1>"1,2,3"</formula1>
    </dataValidation>
    <dataValidation type="list" showInputMessage="1" showErrorMessage="1" sqref="F9:F18 F48:F57 F35:F44 F61:F70 F74:F83 F22:F31" xr:uid="{00000000-0002-0000-0C00-000001000000}">
      <formula1>"0,1,2,3,4"</formula1>
    </dataValidation>
    <dataValidation showInputMessage="1" showErrorMessage="1" sqref="F19 F32 F45 F58 F71 F84:F85" xr:uid="{00000000-0002-0000-0C00-000002000000}"/>
  </dataValidations>
  <hyperlinks>
    <hyperlink ref="A4" location="x!A192" display="x!A192" xr:uid="{00000000-0004-0000-0C00-000000000000}"/>
  </hyperlinks>
  <pageMargins left="0.23622047244094491" right="0.23622047244094491" top="0.19685039370078741" bottom="0.19685039370078741" header="0.19685039370078741" footer="0.19685039370078741"/>
  <pageSetup paperSize="8" scale="90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FFB6CAA2-0B7A-42AE-A8C3-1BD8CDA3009C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F9:F18</xm:sqref>
        </x14:conditionalFormatting>
        <x14:conditionalFormatting xmlns:xm="http://schemas.microsoft.com/office/excel/2006/main">
          <x14:cfRule type="iconSet" priority="21" id="{07EA47EC-6B14-4E77-9795-30B7313E56F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F22:F31</xm:sqref>
        </x14:conditionalFormatting>
        <x14:conditionalFormatting xmlns:xm="http://schemas.microsoft.com/office/excel/2006/main">
          <x14:cfRule type="iconSet" priority="44" id="{F0718CA0-6AA7-47BB-A639-32C32E3C226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F35:F44</xm:sqref>
        </x14:conditionalFormatting>
        <x14:conditionalFormatting xmlns:xm="http://schemas.microsoft.com/office/excel/2006/main">
          <x14:cfRule type="iconSet" priority="40" id="{FE52DEB4-6F12-4C71-BFB0-14A92633157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F48:F57</xm:sqref>
        </x14:conditionalFormatting>
        <x14:conditionalFormatting xmlns:xm="http://schemas.microsoft.com/office/excel/2006/main">
          <x14:cfRule type="iconSet" priority="36" id="{BEBDE6AB-68CF-4FDE-A68E-84D3080C9C09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F61:F70</xm:sqref>
        </x14:conditionalFormatting>
        <x14:conditionalFormatting xmlns:xm="http://schemas.microsoft.com/office/excel/2006/main">
          <x14:cfRule type="iconSet" priority="25" id="{2B155485-2B11-4F07-92EF-75D5B9D54779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F74:F83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Kennzahlen">
    <tabColor theme="7" tint="0.39997558519241921"/>
    <pageSetUpPr fitToPage="1"/>
  </sheetPr>
  <dimension ref="A1:U210"/>
  <sheetViews>
    <sheetView showGridLines="0" zoomScaleNormal="100" workbookViewId="0">
      <pane xSplit="6" ySplit="6" topLeftCell="L7" activePane="bottomRight" state="frozen"/>
      <selection activeCell="T14" sqref="T14"/>
      <selection pane="topRight" activeCell="T14" sqref="T14"/>
      <selection pane="bottomLeft" activeCell="T14" sqref="T14"/>
      <selection pane="bottomRight" activeCell="G5" sqref="G5"/>
    </sheetView>
  </sheetViews>
  <sheetFormatPr baseColWidth="10" defaultColWidth="11.44140625" defaultRowHeight="13.8" x14ac:dyDescent="0.3"/>
  <cols>
    <col min="1" max="1" width="7" style="535" customWidth="1"/>
    <col min="2" max="2" width="2.88671875" style="75" customWidth="1"/>
    <col min="3" max="3" width="36.6640625" style="535" customWidth="1"/>
    <col min="4" max="4" width="10" style="536" bestFit="1" customWidth="1"/>
    <col min="5" max="5" width="10.44140625" style="535" bestFit="1" customWidth="1"/>
    <col min="6" max="16" width="13.109375" style="535" customWidth="1"/>
    <col min="17" max="17" width="18.5546875" style="535" hidden="1" customWidth="1"/>
    <col min="18" max="19" width="11.44140625" style="535" hidden="1" customWidth="1"/>
    <col min="20" max="20" width="6.6640625" style="535" hidden="1" customWidth="1"/>
    <col min="21" max="21" width="6.6640625" style="535" customWidth="1"/>
    <col min="22" max="16384" width="11.44140625" style="535"/>
  </cols>
  <sheetData>
    <row r="1" spans="2:21" s="2" customFormat="1" ht="43.95" customHeight="1" x14ac:dyDescent="0.3">
      <c r="B1" s="4" t="str">
        <f ca="1">' '!A193</f>
        <v>C O M M U N I C A T I O N   B U D G E T</v>
      </c>
      <c r="C1" s="524"/>
      <c r="D1" s="147"/>
      <c r="E1" s="524"/>
      <c r="F1" s="524"/>
      <c r="G1" s="524"/>
      <c r="H1" s="4"/>
      <c r="I1" s="4"/>
      <c r="J1" s="4"/>
      <c r="K1" s="4"/>
      <c r="L1" s="4"/>
      <c r="M1" s="4"/>
      <c r="N1" s="4"/>
      <c r="O1" s="4"/>
      <c r="P1" s="141"/>
    </row>
    <row r="2" spans="2:21" s="13" customFormat="1" ht="5.4" customHeight="1" x14ac:dyDescent="0.3">
      <c r="B2" s="3"/>
      <c r="C2" s="3"/>
      <c r="D2" s="525"/>
    </row>
    <row r="3" spans="2:21" s="13" customFormat="1" ht="5.25" customHeight="1" x14ac:dyDescent="0.3">
      <c r="B3" s="3"/>
      <c r="C3" s="3"/>
      <c r="D3" s="525"/>
    </row>
    <row r="4" spans="2:21" s="2" customFormat="1" ht="16.5" customHeight="1" x14ac:dyDescent="0.3">
      <c r="B4" s="526"/>
      <c r="C4" s="526"/>
      <c r="D4" s="527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8"/>
      <c r="P4" s="529"/>
      <c r="Q4" s="74" t="s">
        <v>668</v>
      </c>
      <c r="R4" s="74" t="s">
        <v>669</v>
      </c>
      <c r="S4" s="74" t="s">
        <v>667</v>
      </c>
      <c r="T4" s="74" t="s">
        <v>670</v>
      </c>
      <c r="U4" s="74"/>
    </row>
    <row r="5" spans="2:21" s="74" customFormat="1" ht="27.6" x14ac:dyDescent="0.3">
      <c r="B5" s="543"/>
      <c r="C5" s="552" t="str">
        <f ca="1">' '!A194</f>
        <v>Description</v>
      </c>
      <c r="D5" s="563" t="str">
        <f ca="1">CONCATENATE(' '!A196," ",' '!A195,"/",INDIRECT(Q5)," ")</f>
        <v xml:space="preserve">atteint DOIT/2015 </v>
      </c>
      <c r="E5" s="553" t="str">
        <f ca="1">CONCATENATE(' '!A197," ",INDIRECT(R5))</f>
        <v>écart 2014</v>
      </c>
      <c r="F5" s="554" t="str">
        <f ca="1">CONCATENATE(' '!A195,"  ",INDIRECT(Q5))</f>
        <v>DOIT  2015</v>
      </c>
      <c r="G5" s="614">
        <v>2014</v>
      </c>
      <c r="H5" s="555">
        <f>G5+1</f>
        <v>2015</v>
      </c>
      <c r="I5" s="555">
        <f t="shared" ref="I5:P5" si="0">H5+1</f>
        <v>2016</v>
      </c>
      <c r="J5" s="555">
        <f t="shared" si="0"/>
        <v>2017</v>
      </c>
      <c r="K5" s="555">
        <f t="shared" si="0"/>
        <v>2018</v>
      </c>
      <c r="L5" s="555">
        <f t="shared" si="0"/>
        <v>2019</v>
      </c>
      <c r="M5" s="555">
        <f t="shared" si="0"/>
        <v>2020</v>
      </c>
      <c r="N5" s="555">
        <f t="shared" si="0"/>
        <v>2021</v>
      </c>
      <c r="O5" s="555">
        <f t="shared" si="0"/>
        <v>2022</v>
      </c>
      <c r="P5" s="556">
        <f t="shared" si="0"/>
        <v>2023</v>
      </c>
      <c r="Q5" s="534" t="str">
        <f ca="1">(ADDRESS(ROW(),COLUMN(INDIRECT(Q7))))</f>
        <v>$H$5</v>
      </c>
      <c r="R5" s="534" t="str">
        <f ca="1">(ADDRESS(ROW(),COLUMN(INDIRECT(R7))))</f>
        <v>$G$5</v>
      </c>
      <c r="T5" s="74" t="s">
        <v>670</v>
      </c>
    </row>
    <row r="6" spans="2:21" s="74" customFormat="1" ht="3.75" customHeight="1" x14ac:dyDescent="0.3">
      <c r="B6" s="530"/>
      <c r="C6" s="531"/>
      <c r="D6" s="532"/>
      <c r="E6" s="533"/>
      <c r="F6" s="533" t="str">
        <f ca="1">F5</f>
        <v>DOIT  2015</v>
      </c>
      <c r="G6" s="533">
        <f t="shared" ref="G6:P6" si="1">G5</f>
        <v>2014</v>
      </c>
      <c r="H6" s="533">
        <f t="shared" si="1"/>
        <v>2015</v>
      </c>
      <c r="I6" s="533">
        <f t="shared" si="1"/>
        <v>2016</v>
      </c>
      <c r="J6" s="533">
        <f t="shared" si="1"/>
        <v>2017</v>
      </c>
      <c r="K6" s="533">
        <f t="shared" si="1"/>
        <v>2018</v>
      </c>
      <c r="L6" s="533">
        <f t="shared" si="1"/>
        <v>2019</v>
      </c>
      <c r="M6" s="533">
        <f t="shared" si="1"/>
        <v>2020</v>
      </c>
      <c r="N6" s="533">
        <f t="shared" si="1"/>
        <v>2021</v>
      </c>
      <c r="O6" s="533">
        <f t="shared" si="1"/>
        <v>2022</v>
      </c>
      <c r="P6" s="533">
        <f t="shared" si="1"/>
        <v>2023</v>
      </c>
    </row>
    <row r="7" spans="2:21" ht="14.4" x14ac:dyDescent="0.3">
      <c r="B7" s="542">
        <v>1</v>
      </c>
      <c r="C7" s="544" t="s">
        <v>410</v>
      </c>
      <c r="D7" s="545">
        <f t="shared" ref="D7:D38" ca="1" si="2">IF(F7&lt;&gt;0,IF(F7&lt;INDIRECT(Q7),F7/INDIRECT(Q7),INDIRECT(Q7)/F7),"")</f>
        <v>0.9</v>
      </c>
      <c r="E7" s="551">
        <f t="shared" ref="E7:E38" ca="1" si="3">IF(H7&lt;&gt;0,T7,0)</f>
        <v>0.125</v>
      </c>
      <c r="F7" s="546">
        <v>100</v>
      </c>
      <c r="G7" s="547">
        <v>80</v>
      </c>
      <c r="H7" s="548">
        <v>90</v>
      </c>
      <c r="I7" s="548"/>
      <c r="J7" s="548"/>
      <c r="K7" s="548"/>
      <c r="L7" s="548"/>
      <c r="M7" s="548"/>
      <c r="N7" s="548"/>
      <c r="O7" s="548"/>
      <c r="P7" s="548"/>
      <c r="Q7" s="534" t="str">
        <f>(ADDRESS(ROW(),COLUMN()-12+MATCH(1,FREQUENCY(1,N(G7:P7="")),)))</f>
        <v>$H$7</v>
      </c>
      <c r="R7" s="535" t="str">
        <f>(ADDRESS(ROW(),COLUMN()-14+MATCH(1,FREQUENCY(1,N(G7:P7="")),)))</f>
        <v>$G$7</v>
      </c>
      <c r="S7" s="535">
        <f t="shared" ref="S7:S38" ca="1" si="4">IF(F7&lt;&gt;0,INDIRECT(Q7)-INDIRECT(R7),0)</f>
        <v>10</v>
      </c>
      <c r="T7" s="550">
        <f ca="1">IF(S7&lt;&gt;0,S7/INDIRECT(R7),0)</f>
        <v>0.125</v>
      </c>
      <c r="U7" s="550"/>
    </row>
    <row r="8" spans="2:21" ht="14.4" x14ac:dyDescent="0.3">
      <c r="B8" s="542">
        <v>2</v>
      </c>
      <c r="C8" s="544" t="s">
        <v>755</v>
      </c>
      <c r="D8" s="545">
        <f t="shared" ca="1" si="2"/>
        <v>0.75</v>
      </c>
      <c r="E8" s="551">
        <f t="shared" ca="1" si="3"/>
        <v>0.2</v>
      </c>
      <c r="F8" s="546">
        <v>80</v>
      </c>
      <c r="G8" s="547">
        <v>50</v>
      </c>
      <c r="H8" s="548">
        <v>60</v>
      </c>
      <c r="I8" s="548"/>
      <c r="J8" s="548"/>
      <c r="K8" s="548"/>
      <c r="L8" s="548"/>
      <c r="M8" s="548"/>
      <c r="N8" s="548"/>
      <c r="O8" s="548"/>
      <c r="P8" s="548"/>
      <c r="Q8" s="534" t="str">
        <f t="shared" ref="Q8:Q65" si="5">(ADDRESS(ROW(),COLUMN()-12+MATCH(1,FREQUENCY(1,N(G8:P8="")),)))</f>
        <v>$H$8</v>
      </c>
      <c r="R8" s="535" t="str">
        <f t="shared" ref="R8:R65" si="6">(ADDRESS(ROW(),COLUMN()-14+MATCH(1,FREQUENCY(1,N(G8:P8="")),)))</f>
        <v>$G$8</v>
      </c>
      <c r="S8" s="535">
        <f t="shared" ca="1" si="4"/>
        <v>10</v>
      </c>
      <c r="T8" s="550">
        <f t="shared" ref="T8:T66" ca="1" si="7">IF(S8&lt;&gt;0,S8/INDIRECT(R8),0)</f>
        <v>0.2</v>
      </c>
      <c r="U8" s="550"/>
    </row>
    <row r="9" spans="2:21" ht="14.4" x14ac:dyDescent="0.3">
      <c r="B9" s="542">
        <v>3</v>
      </c>
      <c r="C9" s="544"/>
      <c r="D9" s="545" t="str">
        <f t="shared" ca="1" si="2"/>
        <v/>
      </c>
      <c r="E9" s="551">
        <f t="shared" si="3"/>
        <v>0</v>
      </c>
      <c r="F9" s="546"/>
      <c r="G9" s="547"/>
      <c r="H9" s="548"/>
      <c r="I9" s="548"/>
      <c r="J9" s="548"/>
      <c r="K9" s="548"/>
      <c r="L9" s="548"/>
      <c r="M9" s="548"/>
      <c r="N9" s="548"/>
      <c r="O9" s="548"/>
      <c r="P9" s="548"/>
      <c r="Q9" s="534" t="str">
        <f t="shared" si="5"/>
        <v>$F$9</v>
      </c>
      <c r="R9" s="535" t="str">
        <f t="shared" si="6"/>
        <v>$E$9</v>
      </c>
      <c r="S9" s="535">
        <f t="shared" ca="1" si="4"/>
        <v>0</v>
      </c>
      <c r="T9" s="550">
        <f t="shared" ca="1" si="7"/>
        <v>0</v>
      </c>
      <c r="U9" s="550"/>
    </row>
    <row r="10" spans="2:21" ht="14.4" x14ac:dyDescent="0.3">
      <c r="B10" s="542">
        <v>4</v>
      </c>
      <c r="C10" s="544"/>
      <c r="D10" s="545" t="str">
        <f t="shared" ca="1" si="2"/>
        <v/>
      </c>
      <c r="E10" s="551">
        <f t="shared" si="3"/>
        <v>0</v>
      </c>
      <c r="F10" s="546"/>
      <c r="G10" s="547"/>
      <c r="H10" s="548"/>
      <c r="I10" s="548"/>
      <c r="J10" s="548"/>
      <c r="K10" s="548"/>
      <c r="L10" s="548"/>
      <c r="M10" s="548"/>
      <c r="N10" s="548"/>
      <c r="O10" s="548"/>
      <c r="P10" s="548"/>
      <c r="Q10" s="534" t="str">
        <f t="shared" si="5"/>
        <v>$F$10</v>
      </c>
      <c r="R10" s="535" t="str">
        <f t="shared" si="6"/>
        <v>$E$10</v>
      </c>
      <c r="S10" s="535">
        <f t="shared" ca="1" si="4"/>
        <v>0</v>
      </c>
      <c r="T10" s="550">
        <f t="shared" ca="1" si="7"/>
        <v>0</v>
      </c>
      <c r="U10" s="550"/>
    </row>
    <row r="11" spans="2:21" ht="14.4" x14ac:dyDescent="0.3">
      <c r="B11" s="542">
        <v>5</v>
      </c>
      <c r="C11" s="544"/>
      <c r="D11" s="545" t="str">
        <f t="shared" ca="1" si="2"/>
        <v/>
      </c>
      <c r="E11" s="551">
        <f t="shared" si="3"/>
        <v>0</v>
      </c>
      <c r="F11" s="546"/>
      <c r="G11" s="547"/>
      <c r="H11" s="548"/>
      <c r="I11" s="548"/>
      <c r="J11" s="548"/>
      <c r="K11" s="548"/>
      <c r="L11" s="548"/>
      <c r="M11" s="548"/>
      <c r="N11" s="548"/>
      <c r="O11" s="548"/>
      <c r="P11" s="548"/>
      <c r="Q11" s="534" t="str">
        <f t="shared" si="5"/>
        <v>$F$11</v>
      </c>
      <c r="R11" s="535" t="str">
        <f t="shared" si="6"/>
        <v>$E$11</v>
      </c>
      <c r="S11" s="535">
        <f t="shared" ca="1" si="4"/>
        <v>0</v>
      </c>
      <c r="T11" s="550">
        <f t="shared" ca="1" si="7"/>
        <v>0</v>
      </c>
      <c r="U11" s="550"/>
    </row>
    <row r="12" spans="2:21" ht="14.4" x14ac:dyDescent="0.3">
      <c r="B12" s="542">
        <v>6</v>
      </c>
      <c r="C12" s="544"/>
      <c r="D12" s="545" t="str">
        <f t="shared" ca="1" si="2"/>
        <v/>
      </c>
      <c r="E12" s="551">
        <f t="shared" si="3"/>
        <v>0</v>
      </c>
      <c r="F12" s="546"/>
      <c r="G12" s="547"/>
      <c r="H12" s="548"/>
      <c r="I12" s="548"/>
      <c r="J12" s="548"/>
      <c r="K12" s="548"/>
      <c r="L12" s="548"/>
      <c r="M12" s="548"/>
      <c r="N12" s="548"/>
      <c r="O12" s="548"/>
      <c r="P12" s="548"/>
      <c r="Q12" s="534" t="str">
        <f t="shared" si="5"/>
        <v>$F$12</v>
      </c>
      <c r="R12" s="535" t="str">
        <f t="shared" si="6"/>
        <v>$E$12</v>
      </c>
      <c r="S12" s="535">
        <f t="shared" ca="1" si="4"/>
        <v>0</v>
      </c>
      <c r="T12" s="550">
        <f t="shared" ca="1" si="7"/>
        <v>0</v>
      </c>
      <c r="U12" s="550"/>
    </row>
    <row r="13" spans="2:21" ht="14.4" x14ac:dyDescent="0.3">
      <c r="B13" s="542">
        <v>7</v>
      </c>
      <c r="C13" s="544"/>
      <c r="D13" s="545" t="str">
        <f t="shared" ca="1" si="2"/>
        <v/>
      </c>
      <c r="E13" s="551">
        <f t="shared" si="3"/>
        <v>0</v>
      </c>
      <c r="F13" s="546"/>
      <c r="G13" s="547"/>
      <c r="H13" s="548"/>
      <c r="I13" s="548"/>
      <c r="J13" s="548"/>
      <c r="K13" s="548"/>
      <c r="L13" s="548"/>
      <c r="M13" s="548"/>
      <c r="N13" s="548"/>
      <c r="O13" s="548"/>
      <c r="P13" s="548"/>
      <c r="Q13" s="534" t="str">
        <f t="shared" si="5"/>
        <v>$F$13</v>
      </c>
      <c r="R13" s="535" t="str">
        <f t="shared" si="6"/>
        <v>$E$13</v>
      </c>
      <c r="S13" s="535">
        <f t="shared" ca="1" si="4"/>
        <v>0</v>
      </c>
      <c r="T13" s="550">
        <f t="shared" ca="1" si="7"/>
        <v>0</v>
      </c>
      <c r="U13" s="550"/>
    </row>
    <row r="14" spans="2:21" ht="14.4" x14ac:dyDescent="0.3">
      <c r="B14" s="542">
        <v>8</v>
      </c>
      <c r="C14" s="544"/>
      <c r="D14" s="545" t="str">
        <f t="shared" ca="1" si="2"/>
        <v/>
      </c>
      <c r="E14" s="551">
        <f t="shared" si="3"/>
        <v>0</v>
      </c>
      <c r="F14" s="546"/>
      <c r="G14" s="547"/>
      <c r="H14" s="548"/>
      <c r="I14" s="548"/>
      <c r="J14" s="548"/>
      <c r="K14" s="548"/>
      <c r="L14" s="548"/>
      <c r="M14" s="548"/>
      <c r="N14" s="548"/>
      <c r="O14" s="548"/>
      <c r="P14" s="548"/>
      <c r="Q14" s="534" t="str">
        <f t="shared" si="5"/>
        <v>$F$14</v>
      </c>
      <c r="R14" s="535" t="str">
        <f t="shared" si="6"/>
        <v>$E$14</v>
      </c>
      <c r="S14" s="535">
        <f t="shared" ca="1" si="4"/>
        <v>0</v>
      </c>
      <c r="T14" s="550">
        <f t="shared" ca="1" si="7"/>
        <v>0</v>
      </c>
      <c r="U14" s="550"/>
    </row>
    <row r="15" spans="2:21" ht="14.4" x14ac:dyDescent="0.3">
      <c r="B15" s="542">
        <v>9</v>
      </c>
      <c r="C15" s="544"/>
      <c r="D15" s="549" t="str">
        <f t="shared" ca="1" si="2"/>
        <v/>
      </c>
      <c r="E15" s="551">
        <f t="shared" si="3"/>
        <v>0</v>
      </c>
      <c r="F15" s="546"/>
      <c r="G15" s="547"/>
      <c r="H15" s="548"/>
      <c r="I15" s="548"/>
      <c r="J15" s="548"/>
      <c r="K15" s="548"/>
      <c r="L15" s="548"/>
      <c r="M15" s="548"/>
      <c r="N15" s="548"/>
      <c r="O15" s="548"/>
      <c r="P15" s="548"/>
      <c r="Q15" s="534" t="str">
        <f t="shared" si="5"/>
        <v>$F$15</v>
      </c>
      <c r="R15" s="535" t="str">
        <f t="shared" si="6"/>
        <v>$E$15</v>
      </c>
      <c r="S15" s="535">
        <f t="shared" ca="1" si="4"/>
        <v>0</v>
      </c>
      <c r="T15" s="550">
        <f t="shared" ca="1" si="7"/>
        <v>0</v>
      </c>
      <c r="U15" s="550"/>
    </row>
    <row r="16" spans="2:21" ht="14.4" x14ac:dyDescent="0.3">
      <c r="B16" s="542">
        <v>10</v>
      </c>
      <c r="C16" s="544"/>
      <c r="D16" s="549" t="str">
        <f t="shared" ca="1" si="2"/>
        <v/>
      </c>
      <c r="E16" s="551">
        <f t="shared" si="3"/>
        <v>0</v>
      </c>
      <c r="F16" s="546"/>
      <c r="G16" s="547"/>
      <c r="H16" s="548"/>
      <c r="I16" s="548"/>
      <c r="J16" s="548"/>
      <c r="K16" s="548"/>
      <c r="L16" s="548"/>
      <c r="M16" s="548"/>
      <c r="N16" s="548"/>
      <c r="O16" s="548"/>
      <c r="P16" s="548"/>
      <c r="Q16" s="534" t="str">
        <f t="shared" si="5"/>
        <v>$F$16</v>
      </c>
      <c r="R16" s="535" t="str">
        <f t="shared" si="6"/>
        <v>$E$16</v>
      </c>
      <c r="S16" s="535">
        <f t="shared" ca="1" si="4"/>
        <v>0</v>
      </c>
      <c r="T16" s="550">
        <f t="shared" ca="1" si="7"/>
        <v>0</v>
      </c>
      <c r="U16" s="550"/>
    </row>
    <row r="17" spans="2:21" ht="14.4" x14ac:dyDescent="0.3">
      <c r="B17" s="542">
        <v>11</v>
      </c>
      <c r="C17" s="544"/>
      <c r="D17" s="549" t="str">
        <f t="shared" ca="1" si="2"/>
        <v/>
      </c>
      <c r="E17" s="551">
        <f t="shared" si="3"/>
        <v>0</v>
      </c>
      <c r="F17" s="546"/>
      <c r="G17" s="547"/>
      <c r="H17" s="548"/>
      <c r="I17" s="548"/>
      <c r="J17" s="548"/>
      <c r="K17" s="548"/>
      <c r="L17" s="548"/>
      <c r="M17" s="548"/>
      <c r="N17" s="548"/>
      <c r="O17" s="548"/>
      <c r="P17" s="548"/>
      <c r="Q17" s="534" t="str">
        <f t="shared" si="5"/>
        <v>$F$17</v>
      </c>
      <c r="R17" s="535" t="str">
        <f t="shared" si="6"/>
        <v>$E$17</v>
      </c>
      <c r="S17" s="535">
        <f t="shared" ca="1" si="4"/>
        <v>0</v>
      </c>
      <c r="T17" s="550">
        <f t="shared" ca="1" si="7"/>
        <v>0</v>
      </c>
      <c r="U17" s="550"/>
    </row>
    <row r="18" spans="2:21" ht="14.4" x14ac:dyDescent="0.3">
      <c r="B18" s="542">
        <v>12</v>
      </c>
      <c r="C18" s="544"/>
      <c r="D18" s="549" t="str">
        <f t="shared" ca="1" si="2"/>
        <v/>
      </c>
      <c r="E18" s="551">
        <f t="shared" si="3"/>
        <v>0</v>
      </c>
      <c r="F18" s="546"/>
      <c r="G18" s="547"/>
      <c r="H18" s="548"/>
      <c r="I18" s="548"/>
      <c r="J18" s="548"/>
      <c r="K18" s="548"/>
      <c r="L18" s="548"/>
      <c r="M18" s="548"/>
      <c r="N18" s="548"/>
      <c r="O18" s="548"/>
      <c r="P18" s="548"/>
      <c r="Q18" s="534" t="str">
        <f t="shared" si="5"/>
        <v>$F$18</v>
      </c>
      <c r="R18" s="535" t="str">
        <f t="shared" si="6"/>
        <v>$E$18</v>
      </c>
      <c r="S18" s="535">
        <f t="shared" ca="1" si="4"/>
        <v>0</v>
      </c>
      <c r="T18" s="550">
        <f t="shared" ca="1" si="7"/>
        <v>0</v>
      </c>
      <c r="U18" s="550"/>
    </row>
    <row r="19" spans="2:21" ht="14.4" x14ac:dyDescent="0.3">
      <c r="B19" s="542">
        <v>13</v>
      </c>
      <c r="C19" s="544"/>
      <c r="D19" s="549" t="str">
        <f t="shared" ca="1" si="2"/>
        <v/>
      </c>
      <c r="E19" s="551">
        <f t="shared" si="3"/>
        <v>0</v>
      </c>
      <c r="F19" s="546"/>
      <c r="G19" s="547"/>
      <c r="H19" s="548"/>
      <c r="I19" s="548"/>
      <c r="J19" s="548"/>
      <c r="K19" s="548"/>
      <c r="L19" s="548"/>
      <c r="M19" s="548"/>
      <c r="N19" s="548"/>
      <c r="O19" s="548"/>
      <c r="P19" s="548"/>
      <c r="Q19" s="534" t="str">
        <f t="shared" si="5"/>
        <v>$F$19</v>
      </c>
      <c r="R19" s="535" t="str">
        <f t="shared" si="6"/>
        <v>$E$19</v>
      </c>
      <c r="S19" s="535">
        <f t="shared" ca="1" si="4"/>
        <v>0</v>
      </c>
      <c r="T19" s="550">
        <f t="shared" ca="1" si="7"/>
        <v>0</v>
      </c>
      <c r="U19" s="550"/>
    </row>
    <row r="20" spans="2:21" ht="14.4" x14ac:dyDescent="0.3">
      <c r="B20" s="542">
        <v>14</v>
      </c>
      <c r="C20" s="544"/>
      <c r="D20" s="549" t="str">
        <f t="shared" ca="1" si="2"/>
        <v/>
      </c>
      <c r="E20" s="551">
        <f t="shared" si="3"/>
        <v>0</v>
      </c>
      <c r="F20" s="546"/>
      <c r="G20" s="547"/>
      <c r="H20" s="548"/>
      <c r="I20" s="548"/>
      <c r="J20" s="548"/>
      <c r="K20" s="548"/>
      <c r="L20" s="548"/>
      <c r="M20" s="548"/>
      <c r="N20" s="548"/>
      <c r="O20" s="548"/>
      <c r="P20" s="548"/>
      <c r="Q20" s="534" t="str">
        <f t="shared" si="5"/>
        <v>$F$20</v>
      </c>
      <c r="R20" s="535" t="str">
        <f t="shared" si="6"/>
        <v>$E$20</v>
      </c>
      <c r="S20" s="535">
        <f t="shared" ca="1" si="4"/>
        <v>0</v>
      </c>
      <c r="T20" s="550">
        <f t="shared" ca="1" si="7"/>
        <v>0</v>
      </c>
      <c r="U20" s="550"/>
    </row>
    <row r="21" spans="2:21" ht="14.4" x14ac:dyDescent="0.3">
      <c r="B21" s="542">
        <v>15</v>
      </c>
      <c r="C21" s="544"/>
      <c r="D21" s="549" t="str">
        <f t="shared" ca="1" si="2"/>
        <v/>
      </c>
      <c r="E21" s="551">
        <f t="shared" si="3"/>
        <v>0</v>
      </c>
      <c r="F21" s="546"/>
      <c r="G21" s="547"/>
      <c r="H21" s="548"/>
      <c r="I21" s="548"/>
      <c r="J21" s="548"/>
      <c r="K21" s="548"/>
      <c r="L21" s="548"/>
      <c r="M21" s="548"/>
      <c r="N21" s="548"/>
      <c r="O21" s="548"/>
      <c r="P21" s="548"/>
      <c r="Q21" s="534" t="str">
        <f t="shared" si="5"/>
        <v>$F$21</v>
      </c>
      <c r="R21" s="535" t="str">
        <f t="shared" si="6"/>
        <v>$E$21</v>
      </c>
      <c r="S21" s="535">
        <f t="shared" ca="1" si="4"/>
        <v>0</v>
      </c>
      <c r="T21" s="550">
        <f t="shared" ca="1" si="7"/>
        <v>0</v>
      </c>
      <c r="U21" s="550"/>
    </row>
    <row r="22" spans="2:21" ht="14.4" x14ac:dyDescent="0.3">
      <c r="B22" s="542">
        <v>16</v>
      </c>
      <c r="C22" s="544"/>
      <c r="D22" s="549" t="str">
        <f t="shared" ca="1" si="2"/>
        <v/>
      </c>
      <c r="E22" s="551">
        <f t="shared" si="3"/>
        <v>0</v>
      </c>
      <c r="F22" s="546"/>
      <c r="G22" s="547"/>
      <c r="H22" s="548"/>
      <c r="I22" s="548"/>
      <c r="J22" s="548"/>
      <c r="K22" s="548"/>
      <c r="L22" s="548"/>
      <c r="M22" s="548"/>
      <c r="N22" s="548"/>
      <c r="O22" s="548"/>
      <c r="P22" s="548"/>
      <c r="Q22" s="534" t="str">
        <f t="shared" si="5"/>
        <v>$F$22</v>
      </c>
      <c r="R22" s="535" t="str">
        <f t="shared" si="6"/>
        <v>$E$22</v>
      </c>
      <c r="S22" s="535">
        <f t="shared" ca="1" si="4"/>
        <v>0</v>
      </c>
      <c r="T22" s="550">
        <f t="shared" ca="1" si="7"/>
        <v>0</v>
      </c>
      <c r="U22" s="550"/>
    </row>
    <row r="23" spans="2:21" ht="14.4" x14ac:dyDescent="0.3">
      <c r="B23" s="542">
        <v>17</v>
      </c>
      <c r="C23" s="544"/>
      <c r="D23" s="549" t="str">
        <f t="shared" ca="1" si="2"/>
        <v/>
      </c>
      <c r="E23" s="551">
        <f t="shared" si="3"/>
        <v>0</v>
      </c>
      <c r="F23" s="546"/>
      <c r="G23" s="547"/>
      <c r="H23" s="548"/>
      <c r="I23" s="548"/>
      <c r="J23" s="548"/>
      <c r="K23" s="548"/>
      <c r="L23" s="548"/>
      <c r="M23" s="548"/>
      <c r="N23" s="548"/>
      <c r="O23" s="548"/>
      <c r="P23" s="548"/>
      <c r="Q23" s="534" t="str">
        <f t="shared" si="5"/>
        <v>$F$23</v>
      </c>
      <c r="R23" s="535" t="str">
        <f t="shared" si="6"/>
        <v>$E$23</v>
      </c>
      <c r="S23" s="535">
        <f t="shared" ca="1" si="4"/>
        <v>0</v>
      </c>
      <c r="T23" s="550">
        <f t="shared" ca="1" si="7"/>
        <v>0</v>
      </c>
      <c r="U23" s="550"/>
    </row>
    <row r="24" spans="2:21" ht="14.4" x14ac:dyDescent="0.3">
      <c r="B24" s="542">
        <v>18</v>
      </c>
      <c r="C24" s="544"/>
      <c r="D24" s="549" t="str">
        <f t="shared" ca="1" si="2"/>
        <v/>
      </c>
      <c r="E24" s="551">
        <f t="shared" si="3"/>
        <v>0</v>
      </c>
      <c r="F24" s="546"/>
      <c r="G24" s="547"/>
      <c r="H24" s="548"/>
      <c r="I24" s="548"/>
      <c r="J24" s="548"/>
      <c r="K24" s="548"/>
      <c r="L24" s="548"/>
      <c r="M24" s="548"/>
      <c r="N24" s="548"/>
      <c r="O24" s="548"/>
      <c r="P24" s="548"/>
      <c r="Q24" s="534" t="str">
        <f t="shared" si="5"/>
        <v>$F$24</v>
      </c>
      <c r="R24" s="535" t="str">
        <f t="shared" si="6"/>
        <v>$E$24</v>
      </c>
      <c r="S24" s="535">
        <f t="shared" ca="1" si="4"/>
        <v>0</v>
      </c>
      <c r="T24" s="550">
        <f t="shared" ca="1" si="7"/>
        <v>0</v>
      </c>
      <c r="U24" s="550"/>
    </row>
    <row r="25" spans="2:21" ht="14.4" x14ac:dyDescent="0.3">
      <c r="B25" s="542">
        <v>19</v>
      </c>
      <c r="C25" s="544"/>
      <c r="D25" s="549" t="str">
        <f t="shared" ca="1" si="2"/>
        <v/>
      </c>
      <c r="E25" s="551">
        <f t="shared" si="3"/>
        <v>0</v>
      </c>
      <c r="F25" s="546"/>
      <c r="G25" s="547"/>
      <c r="H25" s="548"/>
      <c r="I25" s="548"/>
      <c r="J25" s="548"/>
      <c r="K25" s="548"/>
      <c r="L25" s="548"/>
      <c r="M25" s="548"/>
      <c r="N25" s="548"/>
      <c r="O25" s="548"/>
      <c r="P25" s="548"/>
      <c r="Q25" s="534" t="str">
        <f t="shared" si="5"/>
        <v>$F$25</v>
      </c>
      <c r="R25" s="535" t="str">
        <f t="shared" si="6"/>
        <v>$E$25</v>
      </c>
      <c r="S25" s="535">
        <f t="shared" ca="1" si="4"/>
        <v>0</v>
      </c>
      <c r="T25" s="550">
        <f t="shared" ca="1" si="7"/>
        <v>0</v>
      </c>
      <c r="U25" s="550"/>
    </row>
    <row r="26" spans="2:21" ht="14.4" x14ac:dyDescent="0.3">
      <c r="B26" s="542">
        <v>20</v>
      </c>
      <c r="C26" s="544"/>
      <c r="D26" s="545" t="str">
        <f t="shared" ca="1" si="2"/>
        <v/>
      </c>
      <c r="E26" s="551">
        <f t="shared" si="3"/>
        <v>0</v>
      </c>
      <c r="F26" s="546"/>
      <c r="G26" s="547"/>
      <c r="H26" s="548"/>
      <c r="I26" s="548"/>
      <c r="J26" s="548"/>
      <c r="K26" s="548"/>
      <c r="L26" s="548"/>
      <c r="M26" s="548"/>
      <c r="N26" s="548"/>
      <c r="O26" s="548"/>
      <c r="P26" s="548"/>
      <c r="Q26" s="534" t="str">
        <f t="shared" si="5"/>
        <v>$F$26</v>
      </c>
      <c r="R26" s="535" t="str">
        <f t="shared" si="6"/>
        <v>$E$26</v>
      </c>
      <c r="S26" s="535">
        <f t="shared" ca="1" si="4"/>
        <v>0</v>
      </c>
      <c r="T26" s="550">
        <f t="shared" ca="1" si="7"/>
        <v>0</v>
      </c>
      <c r="U26" s="550"/>
    </row>
    <row r="27" spans="2:21" ht="14.4" x14ac:dyDescent="0.3">
      <c r="B27" s="542">
        <v>21</v>
      </c>
      <c r="C27" s="544"/>
      <c r="D27" s="545" t="str">
        <f t="shared" ca="1" si="2"/>
        <v/>
      </c>
      <c r="E27" s="551">
        <f t="shared" si="3"/>
        <v>0</v>
      </c>
      <c r="F27" s="546"/>
      <c r="G27" s="547"/>
      <c r="H27" s="548"/>
      <c r="I27" s="548"/>
      <c r="J27" s="548"/>
      <c r="K27" s="548"/>
      <c r="L27" s="548"/>
      <c r="M27" s="548"/>
      <c r="N27" s="548"/>
      <c r="O27" s="548"/>
      <c r="P27" s="548"/>
      <c r="Q27" s="534" t="str">
        <f t="shared" si="5"/>
        <v>$F$27</v>
      </c>
      <c r="R27" s="535" t="str">
        <f t="shared" si="6"/>
        <v>$E$27</v>
      </c>
      <c r="S27" s="535">
        <f t="shared" ca="1" si="4"/>
        <v>0</v>
      </c>
      <c r="T27" s="550">
        <f t="shared" ca="1" si="7"/>
        <v>0</v>
      </c>
      <c r="U27" s="550"/>
    </row>
    <row r="28" spans="2:21" ht="14.4" x14ac:dyDescent="0.3">
      <c r="B28" s="542">
        <v>22</v>
      </c>
      <c r="C28" s="544"/>
      <c r="D28" s="545" t="str">
        <f t="shared" ca="1" si="2"/>
        <v/>
      </c>
      <c r="E28" s="551">
        <f t="shared" si="3"/>
        <v>0</v>
      </c>
      <c r="F28" s="546"/>
      <c r="G28" s="547"/>
      <c r="H28" s="548"/>
      <c r="I28" s="548"/>
      <c r="J28" s="548"/>
      <c r="K28" s="548"/>
      <c r="L28" s="548"/>
      <c r="M28" s="548"/>
      <c r="N28" s="548"/>
      <c r="O28" s="548"/>
      <c r="P28" s="548"/>
      <c r="Q28" s="534" t="str">
        <f t="shared" si="5"/>
        <v>$F$28</v>
      </c>
      <c r="R28" s="535" t="str">
        <f t="shared" si="6"/>
        <v>$E$28</v>
      </c>
      <c r="S28" s="535">
        <f t="shared" ca="1" si="4"/>
        <v>0</v>
      </c>
      <c r="T28" s="550">
        <f t="shared" ca="1" si="7"/>
        <v>0</v>
      </c>
      <c r="U28" s="550"/>
    </row>
    <row r="29" spans="2:21" ht="14.4" x14ac:dyDescent="0.3">
      <c r="B29" s="542">
        <v>23</v>
      </c>
      <c r="C29" s="544"/>
      <c r="D29" s="545" t="str">
        <f t="shared" ca="1" si="2"/>
        <v/>
      </c>
      <c r="E29" s="551">
        <f t="shared" si="3"/>
        <v>0</v>
      </c>
      <c r="F29" s="546"/>
      <c r="G29" s="547"/>
      <c r="H29" s="548"/>
      <c r="I29" s="548"/>
      <c r="J29" s="548"/>
      <c r="K29" s="548"/>
      <c r="L29" s="548"/>
      <c r="M29" s="548"/>
      <c r="N29" s="548"/>
      <c r="O29" s="548"/>
      <c r="P29" s="548"/>
      <c r="Q29" s="534" t="str">
        <f t="shared" si="5"/>
        <v>$F$29</v>
      </c>
      <c r="R29" s="535" t="str">
        <f t="shared" si="6"/>
        <v>$E$29</v>
      </c>
      <c r="S29" s="535">
        <f t="shared" ca="1" si="4"/>
        <v>0</v>
      </c>
      <c r="T29" s="550">
        <f t="shared" ca="1" si="7"/>
        <v>0</v>
      </c>
      <c r="U29" s="550"/>
    </row>
    <row r="30" spans="2:21" ht="14.4" x14ac:dyDescent="0.3">
      <c r="B30" s="542">
        <v>24</v>
      </c>
      <c r="C30" s="544"/>
      <c r="D30" s="545" t="str">
        <f t="shared" ca="1" si="2"/>
        <v/>
      </c>
      <c r="E30" s="551">
        <f t="shared" si="3"/>
        <v>0</v>
      </c>
      <c r="F30" s="546"/>
      <c r="G30" s="547"/>
      <c r="H30" s="548"/>
      <c r="I30" s="548"/>
      <c r="J30" s="548"/>
      <c r="K30" s="548"/>
      <c r="L30" s="548"/>
      <c r="M30" s="548"/>
      <c r="N30" s="548"/>
      <c r="O30" s="548"/>
      <c r="P30" s="548"/>
      <c r="Q30" s="534" t="str">
        <f t="shared" si="5"/>
        <v>$F$30</v>
      </c>
      <c r="R30" s="535" t="str">
        <f t="shared" si="6"/>
        <v>$E$30</v>
      </c>
      <c r="S30" s="535">
        <f t="shared" ca="1" si="4"/>
        <v>0</v>
      </c>
      <c r="T30" s="550">
        <f t="shared" ca="1" si="7"/>
        <v>0</v>
      </c>
      <c r="U30" s="550"/>
    </row>
    <row r="31" spans="2:21" ht="14.4" x14ac:dyDescent="0.3">
      <c r="B31" s="542">
        <v>25</v>
      </c>
      <c r="C31" s="544"/>
      <c r="D31" s="545" t="str">
        <f t="shared" ca="1" si="2"/>
        <v/>
      </c>
      <c r="E31" s="551">
        <f t="shared" si="3"/>
        <v>0</v>
      </c>
      <c r="F31" s="546"/>
      <c r="G31" s="547"/>
      <c r="H31" s="548"/>
      <c r="I31" s="548"/>
      <c r="J31" s="548"/>
      <c r="K31" s="548"/>
      <c r="L31" s="548"/>
      <c r="M31" s="548"/>
      <c r="N31" s="548"/>
      <c r="O31" s="548"/>
      <c r="P31" s="548"/>
      <c r="Q31" s="534" t="str">
        <f t="shared" si="5"/>
        <v>$F$31</v>
      </c>
      <c r="R31" s="535" t="str">
        <f t="shared" si="6"/>
        <v>$E$31</v>
      </c>
      <c r="S31" s="535">
        <f t="shared" ca="1" si="4"/>
        <v>0</v>
      </c>
      <c r="T31" s="550">
        <f t="shared" ca="1" si="7"/>
        <v>0</v>
      </c>
      <c r="U31" s="550"/>
    </row>
    <row r="32" spans="2:21" ht="14.4" x14ac:dyDescent="0.3">
      <c r="B32" s="542">
        <v>26</v>
      </c>
      <c r="C32" s="544"/>
      <c r="D32" s="545" t="str">
        <f t="shared" ca="1" si="2"/>
        <v/>
      </c>
      <c r="E32" s="551">
        <f t="shared" si="3"/>
        <v>0</v>
      </c>
      <c r="F32" s="546"/>
      <c r="G32" s="547"/>
      <c r="H32" s="548"/>
      <c r="I32" s="548"/>
      <c r="J32" s="548"/>
      <c r="K32" s="548"/>
      <c r="L32" s="548"/>
      <c r="M32" s="548"/>
      <c r="N32" s="548"/>
      <c r="O32" s="548"/>
      <c r="P32" s="548"/>
      <c r="Q32" s="534" t="str">
        <f t="shared" si="5"/>
        <v>$F$32</v>
      </c>
      <c r="R32" s="535" t="str">
        <f t="shared" si="6"/>
        <v>$E$32</v>
      </c>
      <c r="S32" s="535">
        <f t="shared" ca="1" si="4"/>
        <v>0</v>
      </c>
      <c r="T32" s="550">
        <f t="shared" ca="1" si="7"/>
        <v>0</v>
      </c>
      <c r="U32" s="550"/>
    </row>
    <row r="33" spans="2:21" ht="14.4" x14ac:dyDescent="0.3">
      <c r="B33" s="542">
        <v>27</v>
      </c>
      <c r="C33" s="544"/>
      <c r="D33" s="545" t="str">
        <f t="shared" ca="1" si="2"/>
        <v/>
      </c>
      <c r="E33" s="551">
        <f t="shared" si="3"/>
        <v>0</v>
      </c>
      <c r="F33" s="546"/>
      <c r="G33" s="547"/>
      <c r="H33" s="548"/>
      <c r="I33" s="548"/>
      <c r="J33" s="548"/>
      <c r="K33" s="548"/>
      <c r="L33" s="548"/>
      <c r="M33" s="548"/>
      <c r="N33" s="548"/>
      <c r="O33" s="548"/>
      <c r="P33" s="548"/>
      <c r="Q33" s="534" t="str">
        <f t="shared" si="5"/>
        <v>$F$33</v>
      </c>
      <c r="R33" s="535" t="str">
        <f t="shared" si="6"/>
        <v>$E$33</v>
      </c>
      <c r="S33" s="535">
        <f t="shared" ca="1" si="4"/>
        <v>0</v>
      </c>
      <c r="T33" s="550">
        <f t="shared" ca="1" si="7"/>
        <v>0</v>
      </c>
      <c r="U33" s="550"/>
    </row>
    <row r="34" spans="2:21" ht="14.4" x14ac:dyDescent="0.3">
      <c r="B34" s="542">
        <v>28</v>
      </c>
      <c r="C34" s="544"/>
      <c r="D34" s="549" t="str">
        <f t="shared" ca="1" si="2"/>
        <v/>
      </c>
      <c r="E34" s="551">
        <f t="shared" si="3"/>
        <v>0</v>
      </c>
      <c r="F34" s="546"/>
      <c r="G34" s="547"/>
      <c r="H34" s="548"/>
      <c r="I34" s="548"/>
      <c r="J34" s="548"/>
      <c r="K34" s="548"/>
      <c r="L34" s="548"/>
      <c r="M34" s="548"/>
      <c r="N34" s="548"/>
      <c r="O34" s="548"/>
      <c r="P34" s="548"/>
      <c r="Q34" s="534" t="str">
        <f t="shared" si="5"/>
        <v>$F$34</v>
      </c>
      <c r="R34" s="535" t="str">
        <f t="shared" si="6"/>
        <v>$E$34</v>
      </c>
      <c r="S34" s="535">
        <f t="shared" ca="1" si="4"/>
        <v>0</v>
      </c>
      <c r="T34" s="550">
        <f t="shared" ca="1" si="7"/>
        <v>0</v>
      </c>
      <c r="U34" s="550"/>
    </row>
    <row r="35" spans="2:21" ht="14.4" x14ac:dyDescent="0.3">
      <c r="B35" s="542">
        <v>29</v>
      </c>
      <c r="C35" s="544"/>
      <c r="D35" s="549" t="str">
        <f t="shared" ca="1" si="2"/>
        <v/>
      </c>
      <c r="E35" s="551">
        <f t="shared" si="3"/>
        <v>0</v>
      </c>
      <c r="F35" s="546"/>
      <c r="G35" s="547"/>
      <c r="H35" s="548"/>
      <c r="I35" s="548"/>
      <c r="J35" s="548"/>
      <c r="K35" s="548"/>
      <c r="L35" s="548"/>
      <c r="M35" s="548"/>
      <c r="N35" s="548"/>
      <c r="O35" s="548"/>
      <c r="P35" s="548"/>
      <c r="Q35" s="534" t="str">
        <f t="shared" si="5"/>
        <v>$F$35</v>
      </c>
      <c r="R35" s="535" t="str">
        <f t="shared" si="6"/>
        <v>$E$35</v>
      </c>
      <c r="S35" s="535">
        <f t="shared" ca="1" si="4"/>
        <v>0</v>
      </c>
      <c r="T35" s="550">
        <f t="shared" ca="1" si="7"/>
        <v>0</v>
      </c>
      <c r="U35" s="550"/>
    </row>
    <row r="36" spans="2:21" ht="14.4" x14ac:dyDescent="0.3">
      <c r="B36" s="542">
        <v>30</v>
      </c>
      <c r="C36" s="544"/>
      <c r="D36" s="549" t="str">
        <f t="shared" ca="1" si="2"/>
        <v/>
      </c>
      <c r="E36" s="551">
        <f t="shared" si="3"/>
        <v>0</v>
      </c>
      <c r="F36" s="546"/>
      <c r="G36" s="547"/>
      <c r="H36" s="548"/>
      <c r="I36" s="548"/>
      <c r="J36" s="548"/>
      <c r="K36" s="548"/>
      <c r="L36" s="548"/>
      <c r="M36" s="548"/>
      <c r="N36" s="548"/>
      <c r="O36" s="548"/>
      <c r="P36" s="548"/>
      <c r="Q36" s="534" t="str">
        <f t="shared" si="5"/>
        <v>$F$36</v>
      </c>
      <c r="R36" s="535" t="str">
        <f t="shared" si="6"/>
        <v>$E$36</v>
      </c>
      <c r="S36" s="535">
        <f t="shared" ca="1" si="4"/>
        <v>0</v>
      </c>
      <c r="T36" s="550">
        <f t="shared" ca="1" si="7"/>
        <v>0</v>
      </c>
      <c r="U36" s="550"/>
    </row>
    <row r="37" spans="2:21" ht="14.4" x14ac:dyDescent="0.3">
      <c r="B37" s="542">
        <v>31</v>
      </c>
      <c r="C37" s="544"/>
      <c r="D37" s="549" t="str">
        <f t="shared" ca="1" si="2"/>
        <v/>
      </c>
      <c r="E37" s="551">
        <f t="shared" si="3"/>
        <v>0</v>
      </c>
      <c r="F37" s="546"/>
      <c r="G37" s="547"/>
      <c r="H37" s="548"/>
      <c r="I37" s="548"/>
      <c r="J37" s="548"/>
      <c r="K37" s="548"/>
      <c r="L37" s="548"/>
      <c r="M37" s="548"/>
      <c r="N37" s="548"/>
      <c r="O37" s="548"/>
      <c r="P37" s="548"/>
      <c r="Q37" s="534" t="str">
        <f t="shared" si="5"/>
        <v>$F$37</v>
      </c>
      <c r="R37" s="535" t="str">
        <f t="shared" si="6"/>
        <v>$E$37</v>
      </c>
      <c r="S37" s="535">
        <f t="shared" ca="1" si="4"/>
        <v>0</v>
      </c>
      <c r="T37" s="550">
        <f t="shared" ca="1" si="7"/>
        <v>0</v>
      </c>
      <c r="U37" s="550"/>
    </row>
    <row r="38" spans="2:21" ht="14.4" x14ac:dyDescent="0.3">
      <c r="B38" s="542">
        <v>32</v>
      </c>
      <c r="C38" s="544"/>
      <c r="D38" s="549" t="str">
        <f t="shared" ca="1" si="2"/>
        <v/>
      </c>
      <c r="E38" s="551">
        <f t="shared" si="3"/>
        <v>0</v>
      </c>
      <c r="F38" s="546"/>
      <c r="G38" s="547"/>
      <c r="H38" s="548"/>
      <c r="I38" s="548"/>
      <c r="J38" s="548"/>
      <c r="K38" s="548"/>
      <c r="L38" s="548"/>
      <c r="M38" s="548"/>
      <c r="N38" s="548"/>
      <c r="O38" s="548"/>
      <c r="P38" s="548"/>
      <c r="Q38" s="534" t="str">
        <f t="shared" si="5"/>
        <v>$F$38</v>
      </c>
      <c r="R38" s="535" t="str">
        <f t="shared" si="6"/>
        <v>$E$38</v>
      </c>
      <c r="S38" s="535">
        <f t="shared" ca="1" si="4"/>
        <v>0</v>
      </c>
      <c r="T38" s="550">
        <f t="shared" ca="1" si="7"/>
        <v>0</v>
      </c>
      <c r="U38" s="550"/>
    </row>
    <row r="39" spans="2:21" ht="14.4" x14ac:dyDescent="0.3">
      <c r="B39" s="542">
        <v>33</v>
      </c>
      <c r="C39" s="544"/>
      <c r="D39" s="549" t="str">
        <f t="shared" ref="D39:D66" ca="1" si="8">IF(F39&lt;&gt;0,IF(F39&lt;INDIRECT(Q39),F39/INDIRECT(Q39),INDIRECT(Q39)/F39),"")</f>
        <v/>
      </c>
      <c r="E39" s="551">
        <f t="shared" ref="E39:E66" si="9">IF(H39&lt;&gt;0,T39,0)</f>
        <v>0</v>
      </c>
      <c r="F39" s="546"/>
      <c r="G39" s="547"/>
      <c r="H39" s="548"/>
      <c r="I39" s="548"/>
      <c r="J39" s="548"/>
      <c r="K39" s="548"/>
      <c r="L39" s="548"/>
      <c r="M39" s="548"/>
      <c r="N39" s="548"/>
      <c r="O39" s="548"/>
      <c r="P39" s="548"/>
      <c r="Q39" s="534" t="str">
        <f t="shared" si="5"/>
        <v>$F$39</v>
      </c>
      <c r="R39" s="535" t="str">
        <f t="shared" si="6"/>
        <v>$E$39</v>
      </c>
      <c r="S39" s="535">
        <f t="shared" ref="S39:S66" ca="1" si="10">IF(F39&lt;&gt;0,INDIRECT(Q39)-INDIRECT(R39),0)</f>
        <v>0</v>
      </c>
      <c r="T39" s="550">
        <f t="shared" ca="1" si="7"/>
        <v>0</v>
      </c>
      <c r="U39" s="550"/>
    </row>
    <row r="40" spans="2:21" ht="14.4" x14ac:dyDescent="0.3">
      <c r="B40" s="542">
        <v>34</v>
      </c>
      <c r="C40" s="544"/>
      <c r="D40" s="549" t="str">
        <f t="shared" ca="1" si="8"/>
        <v/>
      </c>
      <c r="E40" s="551">
        <f t="shared" si="9"/>
        <v>0</v>
      </c>
      <c r="F40" s="546"/>
      <c r="G40" s="547"/>
      <c r="H40" s="548"/>
      <c r="I40" s="548"/>
      <c r="J40" s="548"/>
      <c r="K40" s="548"/>
      <c r="L40" s="548"/>
      <c r="M40" s="548"/>
      <c r="N40" s="548"/>
      <c r="O40" s="548"/>
      <c r="P40" s="548"/>
      <c r="Q40" s="534" t="str">
        <f t="shared" si="5"/>
        <v>$F$40</v>
      </c>
      <c r="R40" s="535" t="str">
        <f t="shared" si="6"/>
        <v>$E$40</v>
      </c>
      <c r="S40" s="535">
        <f t="shared" ca="1" si="10"/>
        <v>0</v>
      </c>
      <c r="T40" s="550">
        <f t="shared" ca="1" si="7"/>
        <v>0</v>
      </c>
      <c r="U40" s="550"/>
    </row>
    <row r="41" spans="2:21" ht="14.4" x14ac:dyDescent="0.3">
      <c r="B41" s="542">
        <v>35</v>
      </c>
      <c r="C41" s="544"/>
      <c r="D41" s="549" t="str">
        <f t="shared" ca="1" si="8"/>
        <v/>
      </c>
      <c r="E41" s="551">
        <f t="shared" si="9"/>
        <v>0</v>
      </c>
      <c r="F41" s="546"/>
      <c r="G41" s="547"/>
      <c r="H41" s="548"/>
      <c r="I41" s="548"/>
      <c r="J41" s="548"/>
      <c r="K41" s="548"/>
      <c r="L41" s="548"/>
      <c r="M41" s="548"/>
      <c r="N41" s="548"/>
      <c r="O41" s="548"/>
      <c r="P41" s="548"/>
      <c r="Q41" s="534" t="str">
        <f t="shared" si="5"/>
        <v>$F$41</v>
      </c>
      <c r="R41" s="535" t="str">
        <f t="shared" si="6"/>
        <v>$E$41</v>
      </c>
      <c r="S41" s="535">
        <f t="shared" ca="1" si="10"/>
        <v>0</v>
      </c>
      <c r="T41" s="550">
        <f t="shared" ca="1" si="7"/>
        <v>0</v>
      </c>
      <c r="U41" s="550"/>
    </row>
    <row r="42" spans="2:21" ht="14.4" x14ac:dyDescent="0.3">
      <c r="B42" s="542">
        <v>36</v>
      </c>
      <c r="C42" s="544"/>
      <c r="D42" s="549" t="str">
        <f t="shared" ca="1" si="8"/>
        <v/>
      </c>
      <c r="E42" s="551">
        <f t="shared" si="9"/>
        <v>0</v>
      </c>
      <c r="F42" s="546"/>
      <c r="G42" s="547"/>
      <c r="H42" s="548"/>
      <c r="I42" s="548"/>
      <c r="J42" s="548"/>
      <c r="K42" s="548"/>
      <c r="L42" s="548"/>
      <c r="M42" s="548"/>
      <c r="N42" s="548"/>
      <c r="O42" s="548"/>
      <c r="P42" s="548"/>
      <c r="Q42" s="534" t="str">
        <f t="shared" si="5"/>
        <v>$F$42</v>
      </c>
      <c r="R42" s="535" t="str">
        <f t="shared" si="6"/>
        <v>$E$42</v>
      </c>
      <c r="S42" s="535">
        <f t="shared" ca="1" si="10"/>
        <v>0</v>
      </c>
      <c r="T42" s="550">
        <f t="shared" ca="1" si="7"/>
        <v>0</v>
      </c>
      <c r="U42" s="550"/>
    </row>
    <row r="43" spans="2:21" ht="14.4" x14ac:dyDescent="0.3">
      <c r="B43" s="542">
        <v>37</v>
      </c>
      <c r="C43" s="544"/>
      <c r="D43" s="549" t="str">
        <f t="shared" ca="1" si="8"/>
        <v/>
      </c>
      <c r="E43" s="551">
        <f t="shared" si="9"/>
        <v>0</v>
      </c>
      <c r="F43" s="546"/>
      <c r="G43" s="547"/>
      <c r="H43" s="548"/>
      <c r="I43" s="548"/>
      <c r="J43" s="548"/>
      <c r="K43" s="548"/>
      <c r="L43" s="548"/>
      <c r="M43" s="548"/>
      <c r="N43" s="548"/>
      <c r="O43" s="548"/>
      <c r="P43" s="548"/>
      <c r="Q43" s="534" t="str">
        <f t="shared" si="5"/>
        <v>$F$43</v>
      </c>
      <c r="R43" s="535" t="str">
        <f t="shared" si="6"/>
        <v>$E$43</v>
      </c>
      <c r="S43" s="535">
        <f t="shared" ca="1" si="10"/>
        <v>0</v>
      </c>
      <c r="T43" s="550">
        <f t="shared" ca="1" si="7"/>
        <v>0</v>
      </c>
      <c r="U43" s="550"/>
    </row>
    <row r="44" spans="2:21" ht="14.4" x14ac:dyDescent="0.3">
      <c r="B44" s="542">
        <v>38</v>
      </c>
      <c r="C44" s="544"/>
      <c r="D44" s="549" t="str">
        <f t="shared" ca="1" si="8"/>
        <v/>
      </c>
      <c r="E44" s="551">
        <f t="shared" si="9"/>
        <v>0</v>
      </c>
      <c r="F44" s="546"/>
      <c r="G44" s="547"/>
      <c r="H44" s="548"/>
      <c r="I44" s="548"/>
      <c r="J44" s="548"/>
      <c r="K44" s="548"/>
      <c r="L44" s="548"/>
      <c r="M44" s="548"/>
      <c r="N44" s="548"/>
      <c r="O44" s="548"/>
      <c r="P44" s="548"/>
      <c r="Q44" s="534" t="str">
        <f t="shared" si="5"/>
        <v>$F$44</v>
      </c>
      <c r="R44" s="535" t="str">
        <f t="shared" si="6"/>
        <v>$E$44</v>
      </c>
      <c r="S44" s="535">
        <f t="shared" ca="1" si="10"/>
        <v>0</v>
      </c>
      <c r="T44" s="550">
        <f t="shared" ca="1" si="7"/>
        <v>0</v>
      </c>
      <c r="U44" s="550"/>
    </row>
    <row r="45" spans="2:21" ht="14.4" x14ac:dyDescent="0.3">
      <c r="B45" s="542">
        <v>39</v>
      </c>
      <c r="C45" s="544"/>
      <c r="D45" s="545" t="str">
        <f t="shared" ca="1" si="8"/>
        <v/>
      </c>
      <c r="E45" s="551">
        <f t="shared" si="9"/>
        <v>0</v>
      </c>
      <c r="F45" s="546"/>
      <c r="G45" s="547"/>
      <c r="H45" s="548"/>
      <c r="I45" s="548"/>
      <c r="J45" s="548"/>
      <c r="K45" s="548"/>
      <c r="L45" s="548"/>
      <c r="M45" s="548"/>
      <c r="N45" s="548"/>
      <c r="O45" s="548"/>
      <c r="P45" s="548"/>
      <c r="Q45" s="534" t="str">
        <f t="shared" si="5"/>
        <v>$F$45</v>
      </c>
      <c r="R45" s="535" t="str">
        <f t="shared" si="6"/>
        <v>$E$45</v>
      </c>
      <c r="S45" s="535">
        <f t="shared" ca="1" si="10"/>
        <v>0</v>
      </c>
      <c r="T45" s="550">
        <f t="shared" ca="1" si="7"/>
        <v>0</v>
      </c>
      <c r="U45" s="550"/>
    </row>
    <row r="46" spans="2:21" ht="14.4" x14ac:dyDescent="0.3">
      <c r="B46" s="542">
        <v>40</v>
      </c>
      <c r="C46" s="544"/>
      <c r="D46" s="545" t="str">
        <f t="shared" ca="1" si="8"/>
        <v/>
      </c>
      <c r="E46" s="551">
        <f t="shared" si="9"/>
        <v>0</v>
      </c>
      <c r="F46" s="546"/>
      <c r="G46" s="547"/>
      <c r="H46" s="548"/>
      <c r="I46" s="548"/>
      <c r="J46" s="548"/>
      <c r="K46" s="548"/>
      <c r="L46" s="548"/>
      <c r="M46" s="548"/>
      <c r="N46" s="548"/>
      <c r="O46" s="548"/>
      <c r="P46" s="548"/>
      <c r="Q46" s="534" t="str">
        <f t="shared" si="5"/>
        <v>$F$46</v>
      </c>
      <c r="R46" s="535" t="str">
        <f t="shared" si="6"/>
        <v>$E$46</v>
      </c>
      <c r="S46" s="535">
        <f t="shared" ca="1" si="10"/>
        <v>0</v>
      </c>
      <c r="T46" s="550">
        <f t="shared" ca="1" si="7"/>
        <v>0</v>
      </c>
      <c r="U46" s="550"/>
    </row>
    <row r="47" spans="2:21" ht="14.4" x14ac:dyDescent="0.3">
      <c r="B47" s="542">
        <v>41</v>
      </c>
      <c r="C47" s="544"/>
      <c r="D47" s="545" t="str">
        <f t="shared" ca="1" si="8"/>
        <v/>
      </c>
      <c r="E47" s="551">
        <f t="shared" si="9"/>
        <v>0</v>
      </c>
      <c r="F47" s="546"/>
      <c r="G47" s="547"/>
      <c r="H47" s="548"/>
      <c r="I47" s="548"/>
      <c r="J47" s="548"/>
      <c r="K47" s="548"/>
      <c r="L47" s="548"/>
      <c r="M47" s="548"/>
      <c r="N47" s="548"/>
      <c r="O47" s="548"/>
      <c r="P47" s="548"/>
      <c r="Q47" s="534" t="str">
        <f t="shared" si="5"/>
        <v>$F$47</v>
      </c>
      <c r="R47" s="535" t="str">
        <f t="shared" si="6"/>
        <v>$E$47</v>
      </c>
      <c r="S47" s="535">
        <f t="shared" ca="1" si="10"/>
        <v>0</v>
      </c>
      <c r="T47" s="550">
        <f t="shared" ca="1" si="7"/>
        <v>0</v>
      </c>
      <c r="U47" s="550"/>
    </row>
    <row r="48" spans="2:21" ht="14.4" x14ac:dyDescent="0.3">
      <c r="B48" s="542">
        <v>42</v>
      </c>
      <c r="C48" s="544"/>
      <c r="D48" s="545" t="str">
        <f t="shared" ca="1" si="8"/>
        <v/>
      </c>
      <c r="E48" s="551">
        <f t="shared" si="9"/>
        <v>0</v>
      </c>
      <c r="F48" s="546"/>
      <c r="G48" s="547"/>
      <c r="H48" s="548"/>
      <c r="I48" s="548"/>
      <c r="J48" s="548"/>
      <c r="K48" s="548"/>
      <c r="L48" s="548"/>
      <c r="M48" s="548"/>
      <c r="N48" s="548"/>
      <c r="O48" s="548"/>
      <c r="P48" s="548"/>
      <c r="Q48" s="534" t="str">
        <f t="shared" si="5"/>
        <v>$F$48</v>
      </c>
      <c r="R48" s="535" t="str">
        <f t="shared" si="6"/>
        <v>$E$48</v>
      </c>
      <c r="S48" s="535">
        <f t="shared" ca="1" si="10"/>
        <v>0</v>
      </c>
      <c r="T48" s="550">
        <f t="shared" ca="1" si="7"/>
        <v>0</v>
      </c>
      <c r="U48" s="550"/>
    </row>
    <row r="49" spans="2:21" ht="14.4" x14ac:dyDescent="0.3">
      <c r="B49" s="542">
        <v>43</v>
      </c>
      <c r="C49" s="544"/>
      <c r="D49" s="545" t="str">
        <f t="shared" ca="1" si="8"/>
        <v/>
      </c>
      <c r="E49" s="551">
        <f t="shared" si="9"/>
        <v>0</v>
      </c>
      <c r="F49" s="546"/>
      <c r="G49" s="547"/>
      <c r="H49" s="548"/>
      <c r="I49" s="548"/>
      <c r="J49" s="548"/>
      <c r="K49" s="548"/>
      <c r="L49" s="548"/>
      <c r="M49" s="548"/>
      <c r="N49" s="548"/>
      <c r="O49" s="548"/>
      <c r="P49" s="548"/>
      <c r="Q49" s="534" t="str">
        <f t="shared" si="5"/>
        <v>$F$49</v>
      </c>
      <c r="R49" s="535" t="str">
        <f t="shared" si="6"/>
        <v>$E$49</v>
      </c>
      <c r="S49" s="535">
        <f t="shared" ca="1" si="10"/>
        <v>0</v>
      </c>
      <c r="T49" s="550">
        <f t="shared" ca="1" si="7"/>
        <v>0</v>
      </c>
      <c r="U49" s="550"/>
    </row>
    <row r="50" spans="2:21" ht="14.4" x14ac:dyDescent="0.3">
      <c r="B50" s="542">
        <v>44</v>
      </c>
      <c r="C50" s="544"/>
      <c r="D50" s="545" t="str">
        <f t="shared" ca="1" si="8"/>
        <v/>
      </c>
      <c r="E50" s="551">
        <f t="shared" si="9"/>
        <v>0</v>
      </c>
      <c r="F50" s="546"/>
      <c r="G50" s="547"/>
      <c r="H50" s="548"/>
      <c r="I50" s="548"/>
      <c r="J50" s="548"/>
      <c r="K50" s="548"/>
      <c r="L50" s="548"/>
      <c r="M50" s="548"/>
      <c r="N50" s="548"/>
      <c r="O50" s="548"/>
      <c r="P50" s="548"/>
      <c r="Q50" s="534" t="str">
        <f t="shared" si="5"/>
        <v>$F$50</v>
      </c>
      <c r="R50" s="535" t="str">
        <f t="shared" si="6"/>
        <v>$E$50</v>
      </c>
      <c r="S50" s="535">
        <f t="shared" ca="1" si="10"/>
        <v>0</v>
      </c>
      <c r="T50" s="550">
        <f t="shared" ca="1" si="7"/>
        <v>0</v>
      </c>
      <c r="U50" s="550"/>
    </row>
    <row r="51" spans="2:21" ht="14.4" x14ac:dyDescent="0.3">
      <c r="B51" s="542">
        <v>45</v>
      </c>
      <c r="C51" s="544"/>
      <c r="D51" s="545" t="str">
        <f t="shared" ca="1" si="8"/>
        <v/>
      </c>
      <c r="E51" s="551">
        <f t="shared" si="9"/>
        <v>0</v>
      </c>
      <c r="F51" s="546"/>
      <c r="G51" s="547"/>
      <c r="H51" s="548"/>
      <c r="I51" s="548"/>
      <c r="J51" s="548"/>
      <c r="K51" s="548"/>
      <c r="L51" s="548"/>
      <c r="M51" s="548"/>
      <c r="N51" s="548"/>
      <c r="O51" s="548"/>
      <c r="P51" s="548"/>
      <c r="Q51" s="534" t="str">
        <f t="shared" si="5"/>
        <v>$F$51</v>
      </c>
      <c r="R51" s="535" t="str">
        <f t="shared" si="6"/>
        <v>$E$51</v>
      </c>
      <c r="S51" s="535">
        <f t="shared" ca="1" si="10"/>
        <v>0</v>
      </c>
      <c r="T51" s="550">
        <f t="shared" ca="1" si="7"/>
        <v>0</v>
      </c>
      <c r="U51" s="550"/>
    </row>
    <row r="52" spans="2:21" ht="14.4" x14ac:dyDescent="0.3">
      <c r="B52" s="542">
        <v>46</v>
      </c>
      <c r="C52" s="544"/>
      <c r="D52" s="545" t="str">
        <f t="shared" ca="1" si="8"/>
        <v/>
      </c>
      <c r="E52" s="551">
        <f t="shared" si="9"/>
        <v>0</v>
      </c>
      <c r="F52" s="546"/>
      <c r="G52" s="547"/>
      <c r="H52" s="548"/>
      <c r="I52" s="548"/>
      <c r="J52" s="548"/>
      <c r="K52" s="548"/>
      <c r="L52" s="548"/>
      <c r="M52" s="548"/>
      <c r="N52" s="548"/>
      <c r="O52" s="548"/>
      <c r="P52" s="548"/>
      <c r="Q52" s="534" t="str">
        <f t="shared" si="5"/>
        <v>$F$52</v>
      </c>
      <c r="R52" s="535" t="str">
        <f t="shared" si="6"/>
        <v>$E$52</v>
      </c>
      <c r="S52" s="535">
        <f t="shared" ca="1" si="10"/>
        <v>0</v>
      </c>
      <c r="T52" s="550">
        <f t="shared" ca="1" si="7"/>
        <v>0</v>
      </c>
      <c r="U52" s="550"/>
    </row>
    <row r="53" spans="2:21" ht="14.4" x14ac:dyDescent="0.3">
      <c r="B53" s="542">
        <v>47</v>
      </c>
      <c r="C53" s="544"/>
      <c r="D53" s="549" t="str">
        <f t="shared" ca="1" si="8"/>
        <v/>
      </c>
      <c r="E53" s="551">
        <f t="shared" si="9"/>
        <v>0</v>
      </c>
      <c r="F53" s="546"/>
      <c r="G53" s="547"/>
      <c r="H53" s="548"/>
      <c r="I53" s="548"/>
      <c r="J53" s="548"/>
      <c r="K53" s="548"/>
      <c r="L53" s="548"/>
      <c r="M53" s="548"/>
      <c r="N53" s="548"/>
      <c r="O53" s="548"/>
      <c r="P53" s="548"/>
      <c r="Q53" s="534" t="str">
        <f t="shared" si="5"/>
        <v>$F$53</v>
      </c>
      <c r="R53" s="535" t="str">
        <f t="shared" si="6"/>
        <v>$E$53</v>
      </c>
      <c r="S53" s="535">
        <f t="shared" ca="1" si="10"/>
        <v>0</v>
      </c>
      <c r="T53" s="550">
        <f t="shared" ca="1" si="7"/>
        <v>0</v>
      </c>
      <c r="U53" s="550"/>
    </row>
    <row r="54" spans="2:21" ht="14.4" x14ac:dyDescent="0.3">
      <c r="B54" s="542">
        <v>48</v>
      </c>
      <c r="C54" s="544"/>
      <c r="D54" s="549" t="str">
        <f t="shared" ca="1" si="8"/>
        <v/>
      </c>
      <c r="E54" s="551">
        <f t="shared" si="9"/>
        <v>0</v>
      </c>
      <c r="F54" s="546"/>
      <c r="G54" s="547"/>
      <c r="H54" s="548"/>
      <c r="I54" s="548"/>
      <c r="J54" s="548"/>
      <c r="K54" s="548"/>
      <c r="L54" s="548"/>
      <c r="M54" s="548"/>
      <c r="N54" s="548"/>
      <c r="O54" s="548"/>
      <c r="P54" s="548"/>
      <c r="Q54" s="534" t="str">
        <f t="shared" si="5"/>
        <v>$F$54</v>
      </c>
      <c r="R54" s="535" t="str">
        <f t="shared" si="6"/>
        <v>$E$54</v>
      </c>
      <c r="S54" s="535">
        <f t="shared" ca="1" si="10"/>
        <v>0</v>
      </c>
      <c r="T54" s="550">
        <f t="shared" ca="1" si="7"/>
        <v>0</v>
      </c>
      <c r="U54" s="550"/>
    </row>
    <row r="55" spans="2:21" ht="14.4" x14ac:dyDescent="0.3">
      <c r="B55" s="542">
        <v>49</v>
      </c>
      <c r="C55" s="544"/>
      <c r="D55" s="549" t="str">
        <f t="shared" ca="1" si="8"/>
        <v/>
      </c>
      <c r="E55" s="551">
        <f t="shared" si="9"/>
        <v>0</v>
      </c>
      <c r="F55" s="546"/>
      <c r="G55" s="547"/>
      <c r="H55" s="548"/>
      <c r="I55" s="548"/>
      <c r="J55" s="548"/>
      <c r="K55" s="548"/>
      <c r="L55" s="548"/>
      <c r="M55" s="548"/>
      <c r="N55" s="548"/>
      <c r="O55" s="548"/>
      <c r="P55" s="548"/>
      <c r="Q55" s="534" t="str">
        <f t="shared" si="5"/>
        <v>$F$55</v>
      </c>
      <c r="R55" s="535" t="str">
        <f t="shared" si="6"/>
        <v>$E$55</v>
      </c>
      <c r="S55" s="535">
        <f t="shared" ca="1" si="10"/>
        <v>0</v>
      </c>
      <c r="T55" s="550">
        <f t="shared" ca="1" si="7"/>
        <v>0</v>
      </c>
      <c r="U55" s="550"/>
    </row>
    <row r="56" spans="2:21" ht="14.4" x14ac:dyDescent="0.3">
      <c r="B56" s="542">
        <v>50</v>
      </c>
      <c r="C56" s="544"/>
      <c r="D56" s="549" t="str">
        <f t="shared" ca="1" si="8"/>
        <v/>
      </c>
      <c r="E56" s="551">
        <f t="shared" si="9"/>
        <v>0</v>
      </c>
      <c r="F56" s="546"/>
      <c r="G56" s="547"/>
      <c r="H56" s="548"/>
      <c r="I56" s="548"/>
      <c r="J56" s="548"/>
      <c r="K56" s="548"/>
      <c r="L56" s="548"/>
      <c r="M56" s="548"/>
      <c r="N56" s="548"/>
      <c r="O56" s="548"/>
      <c r="P56" s="548"/>
      <c r="Q56" s="534" t="str">
        <f t="shared" si="5"/>
        <v>$F$56</v>
      </c>
      <c r="R56" s="535" t="str">
        <f t="shared" si="6"/>
        <v>$E$56</v>
      </c>
      <c r="S56" s="535">
        <f t="shared" ca="1" si="10"/>
        <v>0</v>
      </c>
      <c r="T56" s="550">
        <f t="shared" ca="1" si="7"/>
        <v>0</v>
      </c>
      <c r="U56" s="550"/>
    </row>
    <row r="57" spans="2:21" ht="14.4" x14ac:dyDescent="0.3">
      <c r="B57" s="542">
        <v>51</v>
      </c>
      <c r="C57" s="544"/>
      <c r="D57" s="549" t="str">
        <f t="shared" ca="1" si="8"/>
        <v/>
      </c>
      <c r="E57" s="551">
        <f t="shared" si="9"/>
        <v>0</v>
      </c>
      <c r="F57" s="546"/>
      <c r="G57" s="547"/>
      <c r="H57" s="548"/>
      <c r="I57" s="548"/>
      <c r="J57" s="548"/>
      <c r="K57" s="548"/>
      <c r="L57" s="548"/>
      <c r="M57" s="548"/>
      <c r="N57" s="548"/>
      <c r="O57" s="548"/>
      <c r="P57" s="548"/>
      <c r="Q57" s="534" t="str">
        <f t="shared" si="5"/>
        <v>$F$57</v>
      </c>
      <c r="R57" s="535" t="str">
        <f t="shared" si="6"/>
        <v>$E$57</v>
      </c>
      <c r="S57" s="535">
        <f t="shared" ca="1" si="10"/>
        <v>0</v>
      </c>
      <c r="T57" s="550">
        <f t="shared" ca="1" si="7"/>
        <v>0</v>
      </c>
      <c r="U57" s="550"/>
    </row>
    <row r="58" spans="2:21" ht="14.4" x14ac:dyDescent="0.3">
      <c r="B58" s="542">
        <v>52</v>
      </c>
      <c r="C58" s="544"/>
      <c r="D58" s="549" t="str">
        <f t="shared" ca="1" si="8"/>
        <v/>
      </c>
      <c r="E58" s="551">
        <f t="shared" si="9"/>
        <v>0</v>
      </c>
      <c r="F58" s="546"/>
      <c r="G58" s="547"/>
      <c r="H58" s="548"/>
      <c r="I58" s="548"/>
      <c r="J58" s="548"/>
      <c r="K58" s="548"/>
      <c r="L58" s="548"/>
      <c r="M58" s="548"/>
      <c r="N58" s="548"/>
      <c r="O58" s="548"/>
      <c r="P58" s="548"/>
      <c r="Q58" s="534" t="str">
        <f t="shared" si="5"/>
        <v>$F$58</v>
      </c>
      <c r="R58" s="535" t="str">
        <f t="shared" si="6"/>
        <v>$E$58</v>
      </c>
      <c r="S58" s="535">
        <f t="shared" ca="1" si="10"/>
        <v>0</v>
      </c>
      <c r="T58" s="550">
        <f t="shared" ca="1" si="7"/>
        <v>0</v>
      </c>
      <c r="U58" s="550"/>
    </row>
    <row r="59" spans="2:21" ht="14.4" x14ac:dyDescent="0.3">
      <c r="B59" s="542">
        <v>53</v>
      </c>
      <c r="C59" s="544"/>
      <c r="D59" s="549" t="str">
        <f t="shared" ca="1" si="8"/>
        <v/>
      </c>
      <c r="E59" s="551">
        <f t="shared" si="9"/>
        <v>0</v>
      </c>
      <c r="F59" s="546"/>
      <c r="G59" s="547"/>
      <c r="H59" s="548"/>
      <c r="I59" s="548"/>
      <c r="J59" s="548"/>
      <c r="K59" s="548"/>
      <c r="L59" s="548"/>
      <c r="M59" s="548"/>
      <c r="N59" s="548"/>
      <c r="O59" s="548"/>
      <c r="P59" s="548"/>
      <c r="Q59" s="534" t="str">
        <f t="shared" si="5"/>
        <v>$F$59</v>
      </c>
      <c r="R59" s="535" t="str">
        <f t="shared" si="6"/>
        <v>$E$59</v>
      </c>
      <c r="S59" s="535">
        <f t="shared" ca="1" si="10"/>
        <v>0</v>
      </c>
      <c r="T59" s="550">
        <f t="shared" ca="1" si="7"/>
        <v>0</v>
      </c>
      <c r="U59" s="550"/>
    </row>
    <row r="60" spans="2:21" ht="14.4" x14ac:dyDescent="0.3">
      <c r="B60" s="542">
        <v>54</v>
      </c>
      <c r="C60" s="544"/>
      <c r="D60" s="549" t="str">
        <f t="shared" ca="1" si="8"/>
        <v/>
      </c>
      <c r="E60" s="551">
        <f t="shared" si="9"/>
        <v>0</v>
      </c>
      <c r="F60" s="546"/>
      <c r="G60" s="547"/>
      <c r="H60" s="548"/>
      <c r="I60" s="548"/>
      <c r="J60" s="548"/>
      <c r="K60" s="548"/>
      <c r="L60" s="548"/>
      <c r="M60" s="548"/>
      <c r="N60" s="548"/>
      <c r="O60" s="548"/>
      <c r="P60" s="548"/>
      <c r="Q60" s="534" t="str">
        <f t="shared" si="5"/>
        <v>$F$60</v>
      </c>
      <c r="R60" s="535" t="str">
        <f t="shared" si="6"/>
        <v>$E$60</v>
      </c>
      <c r="S60" s="535">
        <f t="shared" ca="1" si="10"/>
        <v>0</v>
      </c>
      <c r="T60" s="550">
        <f t="shared" ca="1" si="7"/>
        <v>0</v>
      </c>
      <c r="U60" s="550"/>
    </row>
    <row r="61" spans="2:21" ht="14.4" x14ac:dyDescent="0.3">
      <c r="B61" s="542">
        <v>55</v>
      </c>
      <c r="C61" s="544"/>
      <c r="D61" s="549" t="str">
        <f t="shared" ca="1" si="8"/>
        <v/>
      </c>
      <c r="E61" s="551">
        <f t="shared" si="9"/>
        <v>0</v>
      </c>
      <c r="F61" s="546"/>
      <c r="G61" s="547"/>
      <c r="H61" s="548"/>
      <c r="I61" s="548"/>
      <c r="J61" s="548"/>
      <c r="K61" s="548"/>
      <c r="L61" s="548"/>
      <c r="M61" s="548"/>
      <c r="N61" s="548"/>
      <c r="O61" s="548"/>
      <c r="P61" s="548"/>
      <c r="Q61" s="534" t="str">
        <f t="shared" si="5"/>
        <v>$F$61</v>
      </c>
      <c r="R61" s="535" t="str">
        <f t="shared" si="6"/>
        <v>$E$61</v>
      </c>
      <c r="S61" s="535">
        <f t="shared" ca="1" si="10"/>
        <v>0</v>
      </c>
      <c r="T61" s="550">
        <f t="shared" ca="1" si="7"/>
        <v>0</v>
      </c>
      <c r="U61" s="550"/>
    </row>
    <row r="62" spans="2:21" ht="14.4" x14ac:dyDescent="0.3">
      <c r="B62" s="542">
        <v>56</v>
      </c>
      <c r="C62" s="544"/>
      <c r="D62" s="549" t="str">
        <f t="shared" ca="1" si="8"/>
        <v/>
      </c>
      <c r="E62" s="551">
        <f t="shared" si="9"/>
        <v>0</v>
      </c>
      <c r="F62" s="546"/>
      <c r="G62" s="547"/>
      <c r="H62" s="548"/>
      <c r="I62" s="548"/>
      <c r="J62" s="548"/>
      <c r="K62" s="548"/>
      <c r="L62" s="548"/>
      <c r="M62" s="548"/>
      <c r="N62" s="548"/>
      <c r="O62" s="548"/>
      <c r="P62" s="548"/>
      <c r="Q62" s="534" t="str">
        <f t="shared" si="5"/>
        <v>$F$62</v>
      </c>
      <c r="R62" s="535" t="str">
        <f t="shared" si="6"/>
        <v>$E$62</v>
      </c>
      <c r="S62" s="535">
        <f t="shared" ca="1" si="10"/>
        <v>0</v>
      </c>
      <c r="T62" s="550">
        <f t="shared" ca="1" si="7"/>
        <v>0</v>
      </c>
      <c r="U62" s="550"/>
    </row>
    <row r="63" spans="2:21" ht="14.4" x14ac:dyDescent="0.3">
      <c r="B63" s="542">
        <v>57</v>
      </c>
      <c r="C63" s="544"/>
      <c r="D63" s="549" t="str">
        <f t="shared" ca="1" si="8"/>
        <v/>
      </c>
      <c r="E63" s="551">
        <f t="shared" si="9"/>
        <v>0</v>
      </c>
      <c r="F63" s="546"/>
      <c r="G63" s="547"/>
      <c r="H63" s="548"/>
      <c r="I63" s="548"/>
      <c r="J63" s="548"/>
      <c r="K63" s="548"/>
      <c r="L63" s="548"/>
      <c r="M63" s="548"/>
      <c r="N63" s="548"/>
      <c r="O63" s="548"/>
      <c r="P63" s="548"/>
      <c r="Q63" s="534" t="str">
        <f t="shared" si="5"/>
        <v>$F$63</v>
      </c>
      <c r="R63" s="535" t="str">
        <f t="shared" si="6"/>
        <v>$E$63</v>
      </c>
      <c r="S63" s="535">
        <f t="shared" ca="1" si="10"/>
        <v>0</v>
      </c>
      <c r="T63" s="550">
        <f t="shared" ca="1" si="7"/>
        <v>0</v>
      </c>
      <c r="U63" s="550"/>
    </row>
    <row r="64" spans="2:21" ht="14.4" x14ac:dyDescent="0.3">
      <c r="B64" s="542">
        <v>58</v>
      </c>
      <c r="C64" s="544"/>
      <c r="D64" s="545" t="str">
        <f t="shared" ca="1" si="8"/>
        <v/>
      </c>
      <c r="E64" s="551">
        <f t="shared" si="9"/>
        <v>0</v>
      </c>
      <c r="F64" s="546"/>
      <c r="G64" s="547"/>
      <c r="H64" s="548"/>
      <c r="I64" s="548"/>
      <c r="J64" s="548"/>
      <c r="K64" s="548"/>
      <c r="L64" s="548"/>
      <c r="M64" s="548"/>
      <c r="N64" s="548"/>
      <c r="O64" s="548"/>
      <c r="P64" s="548"/>
      <c r="Q64" s="534" t="str">
        <f t="shared" si="5"/>
        <v>$F$64</v>
      </c>
      <c r="R64" s="535" t="str">
        <f t="shared" si="6"/>
        <v>$E$64</v>
      </c>
      <c r="S64" s="535">
        <f t="shared" ca="1" si="10"/>
        <v>0</v>
      </c>
      <c r="T64" s="550">
        <f t="shared" ca="1" si="7"/>
        <v>0</v>
      </c>
      <c r="U64" s="550"/>
    </row>
    <row r="65" spans="2:21" ht="14.4" x14ac:dyDescent="0.3">
      <c r="B65" s="542">
        <v>59</v>
      </c>
      <c r="C65" s="544"/>
      <c r="D65" s="545" t="str">
        <f t="shared" ca="1" si="8"/>
        <v/>
      </c>
      <c r="E65" s="551">
        <f t="shared" si="9"/>
        <v>0</v>
      </c>
      <c r="F65" s="546"/>
      <c r="G65" s="547"/>
      <c r="H65" s="548"/>
      <c r="I65" s="548"/>
      <c r="J65" s="548"/>
      <c r="K65" s="548"/>
      <c r="L65" s="548"/>
      <c r="M65" s="548"/>
      <c r="N65" s="548"/>
      <c r="O65" s="548"/>
      <c r="P65" s="548"/>
      <c r="Q65" s="534" t="str">
        <f t="shared" si="5"/>
        <v>$F$65</v>
      </c>
      <c r="R65" s="535" t="str">
        <f t="shared" si="6"/>
        <v>$E$65</v>
      </c>
      <c r="S65" s="535">
        <f t="shared" ca="1" si="10"/>
        <v>0</v>
      </c>
      <c r="T65" s="550">
        <f t="shared" ca="1" si="7"/>
        <v>0</v>
      </c>
      <c r="U65" s="550"/>
    </row>
    <row r="66" spans="2:21" ht="14.4" x14ac:dyDescent="0.3">
      <c r="B66" s="557">
        <v>60</v>
      </c>
      <c r="C66" s="559" t="str">
        <f ca="1">' '!A198</f>
        <v>TOTAL  BUDGET</v>
      </c>
      <c r="D66" s="545">
        <f t="shared" ca="1" si="8"/>
        <v>0.83333333333333337</v>
      </c>
      <c r="E66" s="560">
        <f t="shared" ca="1" si="9"/>
        <v>0.15384615384615385</v>
      </c>
      <c r="F66" s="558">
        <f>SUM(F7:F65)</f>
        <v>180</v>
      </c>
      <c r="G66" s="558">
        <f>SUM(G7:G65)</f>
        <v>130</v>
      </c>
      <c r="H66" s="558">
        <f t="shared" ref="H66:P66" si="11">SUM(H7:H65)</f>
        <v>150</v>
      </c>
      <c r="I66" s="558">
        <f t="shared" si="11"/>
        <v>0</v>
      </c>
      <c r="J66" s="558">
        <f t="shared" si="11"/>
        <v>0</v>
      </c>
      <c r="K66" s="558">
        <f t="shared" si="11"/>
        <v>0</v>
      </c>
      <c r="L66" s="558">
        <f t="shared" si="11"/>
        <v>0</v>
      </c>
      <c r="M66" s="558">
        <f t="shared" si="11"/>
        <v>0</v>
      </c>
      <c r="N66" s="558">
        <f t="shared" si="11"/>
        <v>0</v>
      </c>
      <c r="O66" s="558">
        <f t="shared" si="11"/>
        <v>0</v>
      </c>
      <c r="P66" s="558">
        <f t="shared" si="11"/>
        <v>0</v>
      </c>
      <c r="Q66" s="534" t="str">
        <f>(ADDRESS(ROW(),COLUMN()-12+MATCH(1,FREQUENCY(1,N(G7:P7="")),)))</f>
        <v>$H$66</v>
      </c>
      <c r="R66" s="535" t="str">
        <f>(ADDRESS(ROW(),COLUMN()-14+MATCH(1,FREQUENCY(1,N(G7:P7="")),)))</f>
        <v>$G$66</v>
      </c>
      <c r="S66" s="535">
        <f t="shared" ca="1" si="10"/>
        <v>20</v>
      </c>
      <c r="T66" s="550">
        <f t="shared" ca="1" si="7"/>
        <v>0.15384615384615385</v>
      </c>
      <c r="U66" s="550"/>
    </row>
    <row r="67" spans="2:21" ht="14.4" x14ac:dyDescent="0.3">
      <c r="B67"/>
      <c r="C67" s="155" t="s">
        <v>603</v>
      </c>
    </row>
    <row r="69" spans="2:21" ht="49.5" customHeight="1" x14ac:dyDescent="0.6">
      <c r="C69" s="562" t="str">
        <f ca="1">' '!A198</f>
        <v>TOTAL  BUDGET</v>
      </c>
    </row>
    <row r="71" spans="2:21" x14ac:dyDescent="0.3">
      <c r="C71" s="537"/>
      <c r="D71" s="537">
        <f ca="1">COUNTIF($D$7:$D$26,"&lt;=70%")</f>
        <v>0</v>
      </c>
      <c r="E71" s="537"/>
      <c r="F71" s="537">
        <f ca="1">(COUNTIF($D$7:$D$26,"&gt;70%"))-(COUNTIF($D$7:$D$26,"&gt;90%"))</f>
        <v>2</v>
      </c>
      <c r="G71" s="537">
        <f ca="1">COUNTIF($D$7:$D$26,"&gt;=90%")</f>
        <v>1</v>
      </c>
    </row>
    <row r="72" spans="2:21" x14ac:dyDescent="0.3">
      <c r="B72" s="535"/>
      <c r="C72" s="537"/>
      <c r="D72" s="537">
        <f ca="1">COUNTIF(D27:D40,"&lt;=70%")</f>
        <v>0</v>
      </c>
      <c r="E72" s="537"/>
      <c r="F72" s="537">
        <f ca="1">(COUNTIF(D27:D40,"&gt;70%"))-(COUNTIF(D27:D40,"&gt;90%"))</f>
        <v>0</v>
      </c>
      <c r="G72" s="537">
        <f ca="1">COUNTIF(D27:D40,"&gt;=90%")</f>
        <v>0</v>
      </c>
    </row>
    <row r="73" spans="2:21" x14ac:dyDescent="0.3">
      <c r="B73" s="535"/>
      <c r="C73" s="537"/>
      <c r="D73" s="537">
        <f ca="1">COUNTIF(D41:D50,"&lt;=70%")</f>
        <v>0</v>
      </c>
      <c r="E73" s="537"/>
      <c r="F73" s="537">
        <f ca="1">(COUNTIF(D41:D50,"&gt;70%"))-(COUNTIF(D41:D50,"&gt;90%"))</f>
        <v>0</v>
      </c>
      <c r="G73" s="537">
        <f ca="1">COUNTIF(D41:D50,"&gt;=90%")</f>
        <v>0</v>
      </c>
    </row>
    <row r="74" spans="2:21" x14ac:dyDescent="0.3">
      <c r="B74" s="535"/>
      <c r="C74" s="537"/>
      <c r="D74" s="537">
        <f ca="1">COUNTIF(D51:D56,"&lt;=70%")</f>
        <v>0</v>
      </c>
      <c r="E74" s="537"/>
      <c r="F74" s="537">
        <f ca="1">(COUNTIF(D51:D56,"&gt;70%"))-(COUNTIF(D51:D56,"&gt;90%"))</f>
        <v>0</v>
      </c>
      <c r="G74" s="537">
        <f ca="1">COUNTIF(D51:D56,"&gt;=90%")</f>
        <v>0</v>
      </c>
    </row>
    <row r="75" spans="2:21" x14ac:dyDescent="0.3">
      <c r="B75" s="535"/>
      <c r="C75" s="537"/>
      <c r="D75" s="537">
        <f ca="1">COUNTIF(D57:D66,"&lt;=70%")</f>
        <v>0</v>
      </c>
      <c r="E75" s="537"/>
      <c r="F75" s="537">
        <f ca="1">(COUNTIF(D57:D66,"&gt;70%"))-(COUNTIF(D57:D66,"&gt;90%"))</f>
        <v>1</v>
      </c>
      <c r="G75" s="537">
        <f ca="1">COUNTIF(D57:D66,"&gt;=90%")</f>
        <v>0</v>
      </c>
    </row>
    <row r="76" spans="2:21" x14ac:dyDescent="0.3">
      <c r="B76" s="535"/>
    </row>
    <row r="96" spans="1:1" ht="0.15" customHeight="1" x14ac:dyDescent="0.3">
      <c r="A96" s="561"/>
    </row>
    <row r="179" spans="2:4" s="538" customFormat="1" ht="10.199999999999999" x14ac:dyDescent="0.3">
      <c r="B179" s="157"/>
      <c r="D179" s="539"/>
    </row>
    <row r="180" spans="2:4" s="538" customFormat="1" ht="10.199999999999999" x14ac:dyDescent="0.3">
      <c r="B180" s="157"/>
      <c r="C180" s="157" t="str">
        <f ca="1">INDIRECT("d5")</f>
        <v xml:space="preserve">atteint DOIT/2015 </v>
      </c>
      <c r="D180" s="539"/>
    </row>
    <row r="181" spans="2:4" s="538" customFormat="1" ht="10.199999999999999" x14ac:dyDescent="0.3">
      <c r="B181" s="538">
        <f t="shared" ref="B181:B186" si="12">B7</f>
        <v>1</v>
      </c>
      <c r="C181" s="538">
        <f ca="1">INDIRECT("D7")</f>
        <v>0.9</v>
      </c>
      <c r="D181" s="539"/>
    </row>
    <row r="182" spans="2:4" s="538" customFormat="1" ht="10.199999999999999" x14ac:dyDescent="0.3">
      <c r="B182" s="538">
        <f t="shared" si="12"/>
        <v>2</v>
      </c>
      <c r="C182" s="538">
        <f ca="1">INDIRECT("D8")</f>
        <v>0.75</v>
      </c>
      <c r="D182" s="539"/>
    </row>
    <row r="183" spans="2:4" s="538" customFormat="1" ht="10.199999999999999" x14ac:dyDescent="0.3">
      <c r="B183" s="538">
        <f t="shared" si="12"/>
        <v>3</v>
      </c>
      <c r="C183" s="538" t="str">
        <f ca="1">INDIRECT("D9")</f>
        <v/>
      </c>
      <c r="D183" s="539"/>
    </row>
    <row r="184" spans="2:4" s="538" customFormat="1" ht="10.199999999999999" x14ac:dyDescent="0.3">
      <c r="B184" s="538">
        <f t="shared" si="12"/>
        <v>4</v>
      </c>
      <c r="C184" s="538" t="str">
        <f ca="1">INDIRECT("D10")</f>
        <v/>
      </c>
      <c r="D184" s="539"/>
    </row>
    <row r="185" spans="2:4" s="538" customFormat="1" ht="10.199999999999999" x14ac:dyDescent="0.3">
      <c r="B185" s="538">
        <f t="shared" si="12"/>
        <v>5</v>
      </c>
      <c r="C185" s="538" t="str">
        <f ca="1">INDIRECT("D11")</f>
        <v/>
      </c>
      <c r="D185" s="539"/>
    </row>
    <row r="186" spans="2:4" s="538" customFormat="1" ht="10.199999999999999" x14ac:dyDescent="0.3">
      <c r="B186" s="538">
        <f t="shared" si="12"/>
        <v>6</v>
      </c>
      <c r="C186" s="538" t="str">
        <f ca="1">INDIRECT("D12")</f>
        <v/>
      </c>
      <c r="D186" s="539"/>
    </row>
    <row r="187" spans="2:4" s="538" customFormat="1" ht="10.199999999999999" x14ac:dyDescent="0.3">
      <c r="B187" s="538">
        <f t="shared" ref="B187:B192" si="13">B27</f>
        <v>21</v>
      </c>
      <c r="C187" s="538" t="str">
        <f ca="1">INDIRECT("D27")</f>
        <v/>
      </c>
      <c r="D187" s="539"/>
    </row>
    <row r="188" spans="2:4" s="538" customFormat="1" ht="10.199999999999999" x14ac:dyDescent="0.3">
      <c r="B188" s="538">
        <f t="shared" si="13"/>
        <v>22</v>
      </c>
      <c r="C188" s="538" t="str">
        <f ca="1">INDIRECT("D28")</f>
        <v/>
      </c>
      <c r="D188" s="539"/>
    </row>
    <row r="189" spans="2:4" s="538" customFormat="1" ht="10.199999999999999" x14ac:dyDescent="0.3">
      <c r="B189" s="538">
        <f t="shared" si="13"/>
        <v>23</v>
      </c>
      <c r="C189" s="538" t="str">
        <f ca="1">INDIRECT("D29")</f>
        <v/>
      </c>
      <c r="D189" s="539"/>
    </row>
    <row r="190" spans="2:4" s="538" customFormat="1" ht="10.199999999999999" x14ac:dyDescent="0.3">
      <c r="B190" s="538">
        <f t="shared" si="13"/>
        <v>24</v>
      </c>
      <c r="C190" s="538" t="str">
        <f ca="1">INDIRECT("D30")</f>
        <v/>
      </c>
      <c r="D190" s="539"/>
    </row>
    <row r="191" spans="2:4" s="538" customFormat="1" ht="10.199999999999999" x14ac:dyDescent="0.3">
      <c r="B191" s="538">
        <f t="shared" si="13"/>
        <v>25</v>
      </c>
      <c r="C191" s="538" t="str">
        <f ca="1">INDIRECT("D31")</f>
        <v/>
      </c>
      <c r="D191" s="539"/>
    </row>
    <row r="192" spans="2:4" s="538" customFormat="1" ht="10.199999999999999" x14ac:dyDescent="0.3">
      <c r="B192" s="538">
        <f t="shared" si="13"/>
        <v>26</v>
      </c>
      <c r="C192" s="538" t="str">
        <f ca="1">INDIRECT("D32")</f>
        <v/>
      </c>
      <c r="D192" s="539"/>
    </row>
    <row r="193" spans="2:4" s="538" customFormat="1" ht="10.199999999999999" x14ac:dyDescent="0.3">
      <c r="B193" s="538">
        <f t="shared" ref="B193:B198" si="14">B41</f>
        <v>35</v>
      </c>
      <c r="C193" s="538" t="str">
        <f ca="1">INDIRECT("D41")</f>
        <v/>
      </c>
      <c r="D193" s="539"/>
    </row>
    <row r="194" spans="2:4" s="538" customFormat="1" ht="10.199999999999999" x14ac:dyDescent="0.3">
      <c r="B194" s="538">
        <f t="shared" si="14"/>
        <v>36</v>
      </c>
      <c r="C194" s="538" t="str">
        <f ca="1">INDIRECT("D42")</f>
        <v/>
      </c>
      <c r="D194" s="539"/>
    </row>
    <row r="195" spans="2:4" s="538" customFormat="1" ht="10.199999999999999" x14ac:dyDescent="0.3">
      <c r="B195" s="538">
        <f t="shared" si="14"/>
        <v>37</v>
      </c>
      <c r="C195" s="538" t="str">
        <f ca="1">INDIRECT("D43")</f>
        <v/>
      </c>
      <c r="D195" s="539"/>
    </row>
    <row r="196" spans="2:4" s="538" customFormat="1" ht="10.199999999999999" x14ac:dyDescent="0.3">
      <c r="B196" s="538">
        <f t="shared" si="14"/>
        <v>38</v>
      </c>
      <c r="C196" s="538" t="str">
        <f ca="1">INDIRECT("D44")</f>
        <v/>
      </c>
      <c r="D196" s="539"/>
    </row>
    <row r="197" spans="2:4" s="538" customFormat="1" ht="10.199999999999999" x14ac:dyDescent="0.3">
      <c r="B197" s="538">
        <f t="shared" si="14"/>
        <v>39</v>
      </c>
      <c r="C197" s="538" t="str">
        <f ca="1">INDIRECT("D45")</f>
        <v/>
      </c>
      <c r="D197" s="539"/>
    </row>
    <row r="198" spans="2:4" s="538" customFormat="1" ht="10.199999999999999" x14ac:dyDescent="0.3">
      <c r="B198" s="538">
        <f t="shared" si="14"/>
        <v>40</v>
      </c>
      <c r="C198" s="538" t="str">
        <f ca="1">INDIRECT("D46")</f>
        <v/>
      </c>
      <c r="D198" s="539"/>
    </row>
    <row r="199" spans="2:4" s="538" customFormat="1" ht="10.199999999999999" x14ac:dyDescent="0.3">
      <c r="B199" s="538">
        <f t="shared" ref="B199:B210" si="15">B51</f>
        <v>45</v>
      </c>
      <c r="C199" s="538" t="str">
        <f ca="1">INDIRECT("D51")</f>
        <v/>
      </c>
      <c r="D199" s="539"/>
    </row>
    <row r="200" spans="2:4" s="538" customFormat="1" ht="10.199999999999999" x14ac:dyDescent="0.3">
      <c r="B200" s="538">
        <f t="shared" si="15"/>
        <v>46</v>
      </c>
      <c r="C200" s="538" t="str">
        <f ca="1">INDIRECT("D52")</f>
        <v/>
      </c>
      <c r="D200" s="539"/>
    </row>
    <row r="201" spans="2:4" s="538" customFormat="1" ht="10.199999999999999" x14ac:dyDescent="0.3">
      <c r="B201" s="538">
        <f t="shared" si="15"/>
        <v>47</v>
      </c>
      <c r="C201" s="538" t="str">
        <f ca="1">INDIRECT("D53")</f>
        <v/>
      </c>
      <c r="D201" s="539"/>
    </row>
    <row r="202" spans="2:4" s="538" customFormat="1" ht="10.199999999999999" x14ac:dyDescent="0.3">
      <c r="B202" s="538">
        <f t="shared" si="15"/>
        <v>48</v>
      </c>
      <c r="C202" s="538" t="str">
        <f ca="1">INDIRECT("D54")</f>
        <v/>
      </c>
      <c r="D202" s="539"/>
    </row>
    <row r="203" spans="2:4" s="538" customFormat="1" ht="10.199999999999999" x14ac:dyDescent="0.3">
      <c r="B203" s="538">
        <f t="shared" si="15"/>
        <v>49</v>
      </c>
      <c r="C203" s="538" t="str">
        <f ca="1">INDIRECT("D55")</f>
        <v/>
      </c>
      <c r="D203" s="539"/>
    </row>
    <row r="204" spans="2:4" s="538" customFormat="1" ht="10.199999999999999" x14ac:dyDescent="0.3">
      <c r="B204" s="538">
        <f t="shared" si="15"/>
        <v>50</v>
      </c>
      <c r="C204" s="538" t="str">
        <f ca="1">INDIRECT("D56")</f>
        <v/>
      </c>
      <c r="D204" s="539"/>
    </row>
    <row r="205" spans="2:4" s="538" customFormat="1" ht="10.199999999999999" x14ac:dyDescent="0.3">
      <c r="B205" s="538">
        <f t="shared" si="15"/>
        <v>51</v>
      </c>
      <c r="C205" s="538" t="str">
        <f ca="1">INDIRECT("D57")</f>
        <v/>
      </c>
      <c r="D205" s="539"/>
    </row>
    <row r="206" spans="2:4" s="538" customFormat="1" ht="10.199999999999999" x14ac:dyDescent="0.3">
      <c r="B206" s="538">
        <f t="shared" si="15"/>
        <v>52</v>
      </c>
      <c r="C206" s="538" t="str">
        <f ca="1">INDIRECT("D58")</f>
        <v/>
      </c>
      <c r="D206" s="539"/>
    </row>
    <row r="207" spans="2:4" s="538" customFormat="1" ht="10.199999999999999" x14ac:dyDescent="0.3">
      <c r="B207" s="538">
        <f t="shared" si="15"/>
        <v>53</v>
      </c>
      <c r="C207" s="538" t="str">
        <f ca="1">INDIRECT("D59")</f>
        <v/>
      </c>
      <c r="D207" s="539"/>
    </row>
    <row r="208" spans="2:4" s="538" customFormat="1" ht="10.199999999999999" x14ac:dyDescent="0.3">
      <c r="B208" s="538">
        <f t="shared" si="15"/>
        <v>54</v>
      </c>
      <c r="C208" s="538" t="str">
        <f ca="1">INDIRECT("D60")</f>
        <v/>
      </c>
      <c r="D208" s="539"/>
    </row>
    <row r="209" spans="2:4" s="538" customFormat="1" ht="10.199999999999999" x14ac:dyDescent="0.3">
      <c r="B209" s="538">
        <f t="shared" si="15"/>
        <v>55</v>
      </c>
      <c r="C209" s="538" t="str">
        <f ca="1">INDIRECT("D61")</f>
        <v/>
      </c>
      <c r="D209" s="539"/>
    </row>
    <row r="210" spans="2:4" s="538" customFormat="1" ht="10.199999999999999" x14ac:dyDescent="0.3">
      <c r="B210" s="538">
        <f t="shared" si="15"/>
        <v>56</v>
      </c>
      <c r="C210" s="538" t="str">
        <f ca="1">INDIRECT("D62")</f>
        <v/>
      </c>
      <c r="D210" s="539"/>
    </row>
  </sheetData>
  <sheetProtection sheet="1" objects="1" scenarios="1" formatCells="0" formatColumns="0" formatRows="0" insertHyperlinks="0" selectLockedCells="1" sort="0" autoFilter="0"/>
  <conditionalFormatting sqref="C7:D65 D66">
    <cfRule type="expression" dxfId="10" priority="8">
      <formula>MOD(ROW(A1),2)=0</formula>
    </cfRule>
    <cfRule type="expression" dxfId="9" priority="10">
      <formula>MOD(ROW(A2),2)=0</formula>
    </cfRule>
  </conditionalFormatting>
  <conditionalFormatting sqref="D7:D66">
    <cfRule type="iconSet" priority="4">
      <iconSet iconSet="3Symbols2">
        <cfvo type="percent" val="0"/>
        <cfvo type="num" val="0.7"/>
        <cfvo type="num" val="0.9"/>
      </iconSet>
    </cfRule>
    <cfRule type="cellIs" dxfId="8" priority="5" operator="greaterThanOrEqual">
      <formula>90%</formula>
    </cfRule>
    <cfRule type="cellIs" dxfId="7" priority="6" operator="between">
      <formula>70%</formula>
      <formula>90%</formula>
    </cfRule>
    <cfRule type="cellIs" dxfId="6" priority="7" operator="lessThanOrEqual">
      <formula>70%</formula>
    </cfRule>
  </conditionalFormatting>
  <conditionalFormatting sqref="E7:E65">
    <cfRule type="expression" dxfId="5" priority="14010">
      <formula>MOD(ROW(D1),2)=0</formula>
    </cfRule>
    <cfRule type="expression" dxfId="4" priority="14011">
      <formula>MOD(ROW(D2),2)=0</formula>
    </cfRule>
  </conditionalFormatting>
  <conditionalFormatting sqref="F7:P65">
    <cfRule type="expression" dxfId="3" priority="14000">
      <formula>MOD(ROW(C1),2)=0</formula>
    </cfRule>
    <cfRule type="expression" dxfId="2" priority="14001">
      <formula>MOD(ROW(C2),2)=0</formula>
    </cfRule>
  </conditionalFormatting>
  <conditionalFormatting sqref="G5:P5">
    <cfRule type="expression" dxfId="1" priority="2">
      <formula>YEAR(TODAY())=G5</formula>
    </cfRule>
  </conditionalFormatting>
  <conditionalFormatting sqref="H8:P65">
    <cfRule type="expression" dxfId="0" priority="1">
      <formula>AND($C8&lt;&gt;"",H$7&lt;&gt;0,H8="")</formula>
    </cfRule>
  </conditionalFormatting>
  <pageMargins left="0.27559055118110237" right="0.23622047244094491" top="0.35433070866141736" bottom="0.35433070866141736" header="0.23622047244094491" footer="0.15748031496062992"/>
  <pageSetup paperSize="8" fitToWidth="2" fitToHeight="2" orientation="landscape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Mitarbeiterkennzahlen1">
    <tabColor theme="4" tint="0.39997558519241921"/>
  </sheetPr>
  <dimension ref="A1:R484"/>
  <sheetViews>
    <sheetView showGridLines="0" zoomScaleNormal="100" workbookViewId="0">
      <pane ySplit="1" topLeftCell="A2" activePane="bottomLeft" state="frozen"/>
      <selection activeCell="T14" sqref="T14"/>
      <selection pane="bottomLeft" activeCell="A2" sqref="A2"/>
    </sheetView>
  </sheetViews>
  <sheetFormatPr baseColWidth="10" defaultColWidth="11.44140625" defaultRowHeight="14.4" x14ac:dyDescent="0.3"/>
  <cols>
    <col min="1" max="1" width="0.109375" style="55" customWidth="1"/>
    <col min="2" max="2" width="6.44140625" style="13" customWidth="1"/>
    <col min="3" max="3" width="4.44140625" style="13" customWidth="1"/>
    <col min="4" max="4" width="49.44140625" style="13" customWidth="1"/>
    <col min="5" max="5" width="51.44140625" style="13" customWidth="1"/>
    <col min="6" max="6" width="4" style="13" customWidth="1"/>
    <col min="7" max="16384" width="11.44140625" style="13"/>
  </cols>
  <sheetData>
    <row r="1" spans="1:18" s="2" customFormat="1" ht="43.95" customHeight="1" x14ac:dyDescent="0.3">
      <c r="A1" s="55"/>
      <c r="C1" s="16" t="str">
        <f ca="1">' '!A171</f>
        <v>I N D I C A T E U R S   O B J E C T I F S</v>
      </c>
      <c r="D1" s="4"/>
      <c r="E1" s="4"/>
      <c r="F1" s="141"/>
      <c r="G1" s="12"/>
      <c r="H1" s="3"/>
      <c r="O1" s="127"/>
      <c r="P1" s="127"/>
      <c r="Q1" s="127"/>
      <c r="R1" s="127"/>
    </row>
    <row r="2" spans="1:18" ht="15.6" x14ac:dyDescent="0.3">
      <c r="A2" s="18"/>
      <c r="C2" s="81"/>
      <c r="D2" s="48"/>
      <c r="O2" s="127"/>
      <c r="P2" s="127"/>
      <c r="Q2" s="127"/>
      <c r="R2" s="127"/>
    </row>
    <row r="3" spans="1:18" ht="3.9" customHeight="1" x14ac:dyDescent="0.3">
      <c r="A3" s="128"/>
    </row>
    <row r="4" spans="1:18" ht="6.6" customHeight="1" x14ac:dyDescent="0.3">
      <c r="A4" s="129"/>
      <c r="D4" s="130"/>
    </row>
    <row r="5" spans="1:18" ht="24" customHeight="1" x14ac:dyDescent="0.3">
      <c r="A5" s="129"/>
      <c r="C5" s="131" t="s">
        <v>605</v>
      </c>
      <c r="D5" s="132" t="str">
        <f>__s1</f>
        <v>Indikator 1</v>
      </c>
      <c r="E5" s="133"/>
      <c r="F5" s="133"/>
    </row>
    <row r="6" spans="1:18" ht="4.5" customHeight="1" x14ac:dyDescent="0.3">
      <c r="A6" s="129"/>
    </row>
    <row r="7" spans="1:18" x14ac:dyDescent="0.3">
      <c r="A7" s="129"/>
      <c r="C7" s="134"/>
      <c r="D7" s="134" t="str">
        <f ca="1">' '!$A$168</f>
        <v>Description/Remarques</v>
      </c>
      <c r="E7" s="134"/>
      <c r="F7" s="134"/>
    </row>
    <row r="8" spans="1:18" ht="51" customHeight="1" x14ac:dyDescent="0.3">
      <c r="A8" s="129"/>
      <c r="C8" s="705"/>
      <c r="D8" s="705"/>
      <c r="E8" s="705"/>
      <c r="F8" s="705"/>
    </row>
    <row r="9" spans="1:18" x14ac:dyDescent="0.3">
      <c r="A9" s="129"/>
      <c r="C9" s="134"/>
      <c r="D9" s="134" t="str">
        <f ca="1">' '!$A$167</f>
        <v>Calcul</v>
      </c>
      <c r="E9" s="134"/>
      <c r="F9" s="134"/>
    </row>
    <row r="10" spans="1:18" ht="57.9" customHeight="1" x14ac:dyDescent="0.3">
      <c r="A10" s="129"/>
      <c r="C10" s="705"/>
      <c r="D10" s="705"/>
      <c r="E10" s="705" t="s">
        <v>375</v>
      </c>
      <c r="F10" s="705"/>
    </row>
    <row r="11" spans="1:18" x14ac:dyDescent="0.3">
      <c r="A11" s="129"/>
      <c r="C11" s="134"/>
      <c r="D11" s="135" t="str">
        <f ca="1">' '!$A$169</f>
        <v>Source</v>
      </c>
      <c r="E11" s="134" t="str">
        <f ca="1">' '!$A$170</f>
        <v>Moment de l'enquête &amp; Comparaison avec la branche</v>
      </c>
      <c r="F11" s="134"/>
    </row>
    <row r="12" spans="1:18" x14ac:dyDescent="0.3">
      <c r="A12" s="129"/>
      <c r="C12" s="706"/>
      <c r="D12" s="707"/>
      <c r="E12" s="706"/>
      <c r="F12" s="707"/>
    </row>
    <row r="13" spans="1:18" x14ac:dyDescent="0.3">
      <c r="A13" s="129"/>
      <c r="C13" s="706"/>
      <c r="D13" s="707"/>
      <c r="E13" s="706"/>
      <c r="F13" s="707"/>
    </row>
    <row r="14" spans="1:18" x14ac:dyDescent="0.3">
      <c r="A14" s="129"/>
      <c r="C14" s="706"/>
      <c r="D14" s="707"/>
      <c r="E14" s="706"/>
      <c r="F14" s="707"/>
    </row>
    <row r="15" spans="1:18" ht="4.5" customHeight="1" x14ac:dyDescent="0.3">
      <c r="A15" s="129"/>
      <c r="C15" s="134"/>
      <c r="D15" s="134"/>
      <c r="E15" s="134"/>
      <c r="F15" s="134"/>
    </row>
    <row r="16" spans="1:18" ht="8.4" customHeight="1" x14ac:dyDescent="0.3">
      <c r="A16" s="129"/>
      <c r="D16" s="130"/>
    </row>
    <row r="17" spans="1:6" ht="24" customHeight="1" x14ac:dyDescent="0.3">
      <c r="A17" s="129"/>
      <c r="C17" s="131" t="s">
        <v>608</v>
      </c>
      <c r="D17" s="132">
        <f>Massnahmen!E9</f>
        <v>0</v>
      </c>
      <c r="E17" s="133"/>
      <c r="F17" s="133"/>
    </row>
    <row r="18" spans="1:6" x14ac:dyDescent="0.3">
      <c r="A18" s="129"/>
    </row>
    <row r="19" spans="1:6" x14ac:dyDescent="0.3">
      <c r="A19" s="129"/>
      <c r="C19" s="134"/>
      <c r="D19" s="134" t="str">
        <f ca="1">' '!$A$168</f>
        <v>Description/Remarques</v>
      </c>
      <c r="E19" s="134"/>
      <c r="F19" s="134"/>
    </row>
    <row r="20" spans="1:6" x14ac:dyDescent="0.3">
      <c r="A20" s="129"/>
      <c r="C20" s="705"/>
      <c r="D20" s="705"/>
      <c r="E20" s="705"/>
      <c r="F20" s="705"/>
    </row>
    <row r="21" spans="1:6" x14ac:dyDescent="0.3">
      <c r="A21" s="129"/>
      <c r="C21" s="134"/>
      <c r="D21" s="134" t="str">
        <f ca="1">' '!$A$167</f>
        <v>Calcul</v>
      </c>
      <c r="E21" s="134"/>
      <c r="F21" s="134"/>
    </row>
    <row r="22" spans="1:6" x14ac:dyDescent="0.3">
      <c r="A22" s="129"/>
      <c r="C22" s="705"/>
      <c r="D22" s="705"/>
      <c r="E22" s="705" t="s">
        <v>375</v>
      </c>
      <c r="F22" s="705"/>
    </row>
    <row r="23" spans="1:6" x14ac:dyDescent="0.3">
      <c r="A23" s="129"/>
      <c r="C23" s="134"/>
      <c r="D23" s="135" t="str">
        <f ca="1">' '!$A$169</f>
        <v>Source</v>
      </c>
      <c r="E23" s="134" t="str">
        <f ca="1">' '!$A$170</f>
        <v>Moment de l'enquête &amp; Comparaison avec la branche</v>
      </c>
      <c r="F23" s="134"/>
    </row>
    <row r="24" spans="1:6" x14ac:dyDescent="0.3">
      <c r="A24" s="129"/>
      <c r="C24" s="706"/>
      <c r="D24" s="707"/>
      <c r="E24" s="706"/>
      <c r="F24" s="707"/>
    </row>
    <row r="25" spans="1:6" x14ac:dyDescent="0.3">
      <c r="A25" s="129"/>
      <c r="C25" s="706"/>
      <c r="D25" s="707"/>
      <c r="E25" s="706"/>
      <c r="F25" s="707"/>
    </row>
    <row r="26" spans="1:6" x14ac:dyDescent="0.3">
      <c r="A26" s="129"/>
      <c r="C26" s="706"/>
      <c r="D26" s="707"/>
      <c r="E26" s="706"/>
      <c r="F26" s="707"/>
    </row>
    <row r="27" spans="1:6" x14ac:dyDescent="0.3">
      <c r="A27" s="129"/>
      <c r="C27" s="134"/>
      <c r="D27" s="134"/>
      <c r="E27" s="134"/>
      <c r="F27" s="134"/>
    </row>
    <row r="28" spans="1:6" ht="15.6" x14ac:dyDescent="0.3">
      <c r="A28" s="129"/>
      <c r="D28" s="130"/>
    </row>
    <row r="29" spans="1:6" ht="24" customHeight="1" x14ac:dyDescent="0.3">
      <c r="A29" s="129"/>
      <c r="C29" s="131" t="s">
        <v>609</v>
      </c>
      <c r="D29" s="132">
        <f>__s3</f>
        <v>0</v>
      </c>
      <c r="E29" s="133"/>
      <c r="F29" s="133"/>
    </row>
    <row r="30" spans="1:6" x14ac:dyDescent="0.3">
      <c r="A30" s="129"/>
    </row>
    <row r="31" spans="1:6" x14ac:dyDescent="0.3">
      <c r="A31" s="129"/>
      <c r="C31" s="134"/>
      <c r="D31" s="134" t="str">
        <f ca="1">' '!$A$168</f>
        <v>Description/Remarques</v>
      </c>
      <c r="E31" s="134"/>
      <c r="F31" s="134"/>
    </row>
    <row r="32" spans="1:6" x14ac:dyDescent="0.3">
      <c r="A32" s="129"/>
      <c r="C32" s="705"/>
      <c r="D32" s="705"/>
      <c r="E32" s="705"/>
      <c r="F32" s="705"/>
    </row>
    <row r="33" spans="1:6" x14ac:dyDescent="0.3">
      <c r="A33" s="129"/>
      <c r="C33" s="134"/>
      <c r="D33" s="134" t="str">
        <f ca="1">' '!$A$167</f>
        <v>Calcul</v>
      </c>
      <c r="E33" s="134"/>
      <c r="F33" s="134"/>
    </row>
    <row r="34" spans="1:6" x14ac:dyDescent="0.3">
      <c r="A34" s="129"/>
      <c r="C34" s="705"/>
      <c r="D34" s="705"/>
      <c r="E34" s="705" t="s">
        <v>375</v>
      </c>
      <c r="F34" s="705"/>
    </row>
    <row r="35" spans="1:6" x14ac:dyDescent="0.3">
      <c r="A35" s="129"/>
      <c r="C35" s="134"/>
      <c r="D35" s="135" t="str">
        <f ca="1">' '!$A$169</f>
        <v>Source</v>
      </c>
      <c r="E35" s="134" t="str">
        <f ca="1">' '!$A$170</f>
        <v>Moment de l'enquête &amp; Comparaison avec la branche</v>
      </c>
      <c r="F35" s="134"/>
    </row>
    <row r="36" spans="1:6" x14ac:dyDescent="0.3">
      <c r="A36" s="129"/>
      <c r="C36" s="706"/>
      <c r="D36" s="707"/>
      <c r="E36" s="706"/>
      <c r="F36" s="707"/>
    </row>
    <row r="37" spans="1:6" x14ac:dyDescent="0.3">
      <c r="A37" s="129"/>
      <c r="C37" s="706"/>
      <c r="D37" s="707"/>
      <c r="E37" s="706"/>
      <c r="F37" s="707"/>
    </row>
    <row r="38" spans="1:6" x14ac:dyDescent="0.3">
      <c r="A38" s="129"/>
      <c r="C38" s="706"/>
      <c r="D38" s="707"/>
      <c r="E38" s="706"/>
      <c r="F38" s="707"/>
    </row>
    <row r="39" spans="1:6" x14ac:dyDescent="0.3">
      <c r="A39" s="129"/>
      <c r="C39" s="134"/>
      <c r="D39" s="134"/>
      <c r="E39" s="134"/>
      <c r="F39" s="134"/>
    </row>
    <row r="40" spans="1:6" ht="15.6" x14ac:dyDescent="0.3">
      <c r="A40" s="129"/>
      <c r="D40" s="130"/>
    </row>
    <row r="41" spans="1:6" ht="24" customHeight="1" x14ac:dyDescent="0.3">
      <c r="A41" s="129"/>
      <c r="C41" s="131" t="s">
        <v>610</v>
      </c>
      <c r="D41" s="132">
        <f>__s4</f>
        <v>0</v>
      </c>
      <c r="E41" s="133"/>
      <c r="F41" s="133"/>
    </row>
    <row r="42" spans="1:6" x14ac:dyDescent="0.3">
      <c r="A42" s="129"/>
    </row>
    <row r="43" spans="1:6" x14ac:dyDescent="0.3">
      <c r="A43" s="129"/>
      <c r="C43" s="134"/>
      <c r="D43" s="134" t="str">
        <f ca="1">' '!$A$168</f>
        <v>Description/Remarques</v>
      </c>
      <c r="E43" s="134"/>
      <c r="F43" s="134"/>
    </row>
    <row r="44" spans="1:6" x14ac:dyDescent="0.3">
      <c r="A44" s="129"/>
      <c r="C44" s="705"/>
      <c r="D44" s="705"/>
      <c r="E44" s="705"/>
      <c r="F44" s="705"/>
    </row>
    <row r="45" spans="1:6" x14ac:dyDescent="0.3">
      <c r="A45" s="129"/>
      <c r="C45" s="134"/>
      <c r="D45" s="134" t="str">
        <f ca="1">' '!$A$167</f>
        <v>Calcul</v>
      </c>
      <c r="E45" s="134"/>
      <c r="F45" s="134"/>
    </row>
    <row r="46" spans="1:6" x14ac:dyDescent="0.3">
      <c r="A46" s="129"/>
      <c r="C46" s="705"/>
      <c r="D46" s="705"/>
      <c r="E46" s="705" t="s">
        <v>375</v>
      </c>
      <c r="F46" s="705"/>
    </row>
    <row r="47" spans="1:6" x14ac:dyDescent="0.3">
      <c r="A47" s="129"/>
      <c r="C47" s="134"/>
      <c r="D47" s="135" t="str">
        <f ca="1">' '!$A$169</f>
        <v>Source</v>
      </c>
      <c r="E47" s="134" t="str">
        <f ca="1">' '!$A$170</f>
        <v>Moment de l'enquête &amp; Comparaison avec la branche</v>
      </c>
      <c r="F47" s="134"/>
    </row>
    <row r="48" spans="1:6" x14ac:dyDescent="0.3">
      <c r="A48" s="129"/>
      <c r="C48" s="706"/>
      <c r="D48" s="707"/>
      <c r="E48" s="706"/>
      <c r="F48" s="707"/>
    </row>
    <row r="49" spans="1:6" x14ac:dyDescent="0.3">
      <c r="A49" s="129"/>
      <c r="C49" s="706"/>
      <c r="D49" s="707"/>
      <c r="E49" s="706"/>
      <c r="F49" s="707"/>
    </row>
    <row r="50" spans="1:6" x14ac:dyDescent="0.3">
      <c r="A50" s="129"/>
      <c r="C50" s="706"/>
      <c r="D50" s="707"/>
      <c r="E50" s="706"/>
      <c r="F50" s="707"/>
    </row>
    <row r="51" spans="1:6" x14ac:dyDescent="0.3">
      <c r="A51" s="129"/>
      <c r="C51" s="134"/>
      <c r="D51" s="134"/>
      <c r="E51" s="134"/>
      <c r="F51" s="134"/>
    </row>
    <row r="52" spans="1:6" ht="15.6" x14ac:dyDescent="0.3">
      <c r="A52" s="129"/>
      <c r="D52" s="130"/>
    </row>
    <row r="53" spans="1:6" ht="24" customHeight="1" x14ac:dyDescent="0.3">
      <c r="A53" s="129"/>
      <c r="C53" s="131" t="s">
        <v>611</v>
      </c>
      <c r="D53" s="132">
        <f>__s5</f>
        <v>0</v>
      </c>
      <c r="E53" s="133"/>
      <c r="F53" s="133"/>
    </row>
    <row r="54" spans="1:6" x14ac:dyDescent="0.3">
      <c r="A54" s="129"/>
    </row>
    <row r="55" spans="1:6" x14ac:dyDescent="0.3">
      <c r="A55" s="129"/>
      <c r="C55" s="134"/>
      <c r="D55" s="134" t="str">
        <f ca="1">' '!$A$168</f>
        <v>Description/Remarques</v>
      </c>
      <c r="E55" s="134"/>
      <c r="F55" s="134"/>
    </row>
    <row r="56" spans="1:6" x14ac:dyDescent="0.3">
      <c r="A56" s="129"/>
      <c r="C56" s="705"/>
      <c r="D56" s="705"/>
      <c r="E56" s="705"/>
      <c r="F56" s="705"/>
    </row>
    <row r="57" spans="1:6" x14ac:dyDescent="0.3">
      <c r="A57" s="129"/>
      <c r="C57" s="134"/>
      <c r="D57" s="134" t="str">
        <f ca="1">' '!$A$167</f>
        <v>Calcul</v>
      </c>
      <c r="E57" s="134"/>
      <c r="F57" s="134"/>
    </row>
    <row r="58" spans="1:6" x14ac:dyDescent="0.3">
      <c r="A58" s="129"/>
      <c r="C58" s="705"/>
      <c r="D58" s="705"/>
      <c r="E58" s="705" t="s">
        <v>375</v>
      </c>
      <c r="F58" s="705"/>
    </row>
    <row r="59" spans="1:6" x14ac:dyDescent="0.3">
      <c r="A59" s="129"/>
      <c r="C59" s="134"/>
      <c r="D59" s="135" t="str">
        <f ca="1">' '!$A$169</f>
        <v>Source</v>
      </c>
      <c r="E59" s="134" t="str">
        <f ca="1">' '!$A$170</f>
        <v>Moment de l'enquête &amp; Comparaison avec la branche</v>
      </c>
      <c r="F59" s="134"/>
    </row>
    <row r="60" spans="1:6" x14ac:dyDescent="0.3">
      <c r="A60" s="129"/>
      <c r="C60" s="706"/>
      <c r="D60" s="707"/>
      <c r="E60" s="706"/>
      <c r="F60" s="707"/>
    </row>
    <row r="61" spans="1:6" x14ac:dyDescent="0.3">
      <c r="A61" s="129"/>
      <c r="C61" s="706"/>
      <c r="D61" s="707"/>
      <c r="E61" s="706"/>
      <c r="F61" s="707"/>
    </row>
    <row r="62" spans="1:6" x14ac:dyDescent="0.3">
      <c r="A62" s="129"/>
      <c r="C62" s="706"/>
      <c r="D62" s="707"/>
      <c r="E62" s="706"/>
      <c r="F62" s="707"/>
    </row>
    <row r="63" spans="1:6" x14ac:dyDescent="0.3">
      <c r="A63" s="129"/>
      <c r="C63" s="134"/>
      <c r="D63" s="134"/>
      <c r="E63" s="134"/>
      <c r="F63" s="134"/>
    </row>
    <row r="64" spans="1:6" ht="15.6" x14ac:dyDescent="0.3">
      <c r="A64" s="129"/>
      <c r="D64" s="130"/>
    </row>
    <row r="65" spans="1:6" ht="24" customHeight="1" x14ac:dyDescent="0.3">
      <c r="A65" s="129"/>
      <c r="C65" s="131" t="s">
        <v>612</v>
      </c>
      <c r="D65" s="132">
        <f>__s6</f>
        <v>0</v>
      </c>
      <c r="E65" s="133"/>
      <c r="F65" s="133"/>
    </row>
    <row r="66" spans="1:6" x14ac:dyDescent="0.3">
      <c r="A66" s="129"/>
    </row>
    <row r="67" spans="1:6" x14ac:dyDescent="0.3">
      <c r="A67" s="129"/>
      <c r="C67" s="134"/>
      <c r="D67" s="134" t="str">
        <f ca="1">' '!$A$168</f>
        <v>Description/Remarques</v>
      </c>
      <c r="E67" s="134"/>
      <c r="F67" s="134"/>
    </row>
    <row r="68" spans="1:6" x14ac:dyDescent="0.3">
      <c r="A68" s="129"/>
      <c r="C68" s="705"/>
      <c r="D68" s="705"/>
      <c r="E68" s="705"/>
      <c r="F68" s="705"/>
    </row>
    <row r="69" spans="1:6" x14ac:dyDescent="0.3">
      <c r="A69" s="129"/>
      <c r="C69" s="134"/>
      <c r="D69" s="134" t="str">
        <f ca="1">' '!$A$167</f>
        <v>Calcul</v>
      </c>
      <c r="E69" s="134"/>
      <c r="F69" s="134"/>
    </row>
    <row r="70" spans="1:6" x14ac:dyDescent="0.3">
      <c r="A70" s="129"/>
      <c r="C70" s="705"/>
      <c r="D70" s="705"/>
      <c r="E70" s="705" t="s">
        <v>375</v>
      </c>
      <c r="F70" s="705"/>
    </row>
    <row r="71" spans="1:6" x14ac:dyDescent="0.3">
      <c r="A71" s="129"/>
      <c r="C71" s="134"/>
      <c r="D71" s="135" t="str">
        <f ca="1">' '!$A$169</f>
        <v>Source</v>
      </c>
      <c r="E71" s="134" t="str">
        <f ca="1">' '!$A$170</f>
        <v>Moment de l'enquête &amp; Comparaison avec la branche</v>
      </c>
      <c r="F71" s="134"/>
    </row>
    <row r="72" spans="1:6" x14ac:dyDescent="0.3">
      <c r="A72" s="129"/>
      <c r="C72" s="706"/>
      <c r="D72" s="707"/>
      <c r="E72" s="706"/>
      <c r="F72" s="707"/>
    </row>
    <row r="73" spans="1:6" x14ac:dyDescent="0.3">
      <c r="A73" s="129"/>
      <c r="C73" s="706"/>
      <c r="D73" s="707"/>
      <c r="E73" s="706"/>
      <c r="F73" s="707"/>
    </row>
    <row r="74" spans="1:6" x14ac:dyDescent="0.3">
      <c r="A74" s="129"/>
      <c r="C74" s="706"/>
      <c r="D74" s="707"/>
      <c r="E74" s="706"/>
      <c r="F74" s="707"/>
    </row>
    <row r="75" spans="1:6" x14ac:dyDescent="0.3">
      <c r="A75" s="129"/>
      <c r="C75" s="134"/>
      <c r="D75" s="134"/>
      <c r="E75" s="134"/>
      <c r="F75" s="134"/>
    </row>
    <row r="76" spans="1:6" ht="15.6" x14ac:dyDescent="0.3">
      <c r="A76" s="129"/>
      <c r="D76" s="130"/>
    </row>
    <row r="77" spans="1:6" ht="24" customHeight="1" x14ac:dyDescent="0.3">
      <c r="A77" s="129"/>
      <c r="C77" s="131" t="s">
        <v>613</v>
      </c>
      <c r="D77" s="132">
        <f>__s7</f>
        <v>0</v>
      </c>
      <c r="E77" s="133"/>
      <c r="F77" s="133"/>
    </row>
    <row r="78" spans="1:6" x14ac:dyDescent="0.3">
      <c r="A78" s="129"/>
    </row>
    <row r="79" spans="1:6" x14ac:dyDescent="0.3">
      <c r="A79" s="129"/>
      <c r="C79" s="134"/>
      <c r="D79" s="134" t="str">
        <f ca="1">' '!$A$168</f>
        <v>Description/Remarques</v>
      </c>
      <c r="E79" s="134"/>
      <c r="F79" s="134"/>
    </row>
    <row r="80" spans="1:6" x14ac:dyDescent="0.3">
      <c r="A80" s="129"/>
      <c r="C80" s="705"/>
      <c r="D80" s="705"/>
      <c r="E80" s="705"/>
      <c r="F80" s="705"/>
    </row>
    <row r="81" spans="1:6" x14ac:dyDescent="0.3">
      <c r="A81" s="129"/>
      <c r="C81" s="134"/>
      <c r="D81" s="134" t="str">
        <f ca="1">' '!$A$167</f>
        <v>Calcul</v>
      </c>
      <c r="E81" s="134"/>
      <c r="F81" s="134"/>
    </row>
    <row r="82" spans="1:6" x14ac:dyDescent="0.3">
      <c r="A82" s="129"/>
      <c r="C82" s="705"/>
      <c r="D82" s="705"/>
      <c r="E82" s="705" t="s">
        <v>375</v>
      </c>
      <c r="F82" s="705"/>
    </row>
    <row r="83" spans="1:6" x14ac:dyDescent="0.3">
      <c r="A83" s="129"/>
      <c r="C83" s="134"/>
      <c r="D83" s="135" t="str">
        <f ca="1">' '!$A$169</f>
        <v>Source</v>
      </c>
      <c r="E83" s="134" t="str">
        <f ca="1">' '!$A$170</f>
        <v>Moment de l'enquête &amp; Comparaison avec la branche</v>
      </c>
      <c r="F83" s="134"/>
    </row>
    <row r="84" spans="1:6" x14ac:dyDescent="0.3">
      <c r="A84" s="129"/>
      <c r="C84" s="706"/>
      <c r="D84" s="707"/>
      <c r="E84" s="706"/>
      <c r="F84" s="707"/>
    </row>
    <row r="85" spans="1:6" x14ac:dyDescent="0.3">
      <c r="A85" s="129"/>
      <c r="C85" s="706"/>
      <c r="D85" s="707"/>
      <c r="E85" s="706"/>
      <c r="F85" s="707"/>
    </row>
    <row r="86" spans="1:6" x14ac:dyDescent="0.3">
      <c r="A86" s="129"/>
      <c r="C86" s="706"/>
      <c r="D86" s="707"/>
      <c r="E86" s="706"/>
      <c r="F86" s="707"/>
    </row>
    <row r="87" spans="1:6" x14ac:dyDescent="0.3">
      <c r="A87" s="129"/>
      <c r="C87" s="134"/>
      <c r="D87" s="134"/>
      <c r="E87" s="134"/>
      <c r="F87" s="134"/>
    </row>
    <row r="88" spans="1:6" ht="15.6" x14ac:dyDescent="0.3">
      <c r="A88" s="129"/>
      <c r="D88" s="130"/>
    </row>
    <row r="89" spans="1:6" ht="24" customHeight="1" x14ac:dyDescent="0.3">
      <c r="A89" s="129"/>
      <c r="C89" s="131" t="s">
        <v>614</v>
      </c>
      <c r="D89" s="132">
        <f>__s8</f>
        <v>0</v>
      </c>
      <c r="E89" s="133"/>
      <c r="F89" s="133"/>
    </row>
    <row r="90" spans="1:6" x14ac:dyDescent="0.3">
      <c r="A90" s="129"/>
    </row>
    <row r="91" spans="1:6" x14ac:dyDescent="0.3">
      <c r="A91" s="129"/>
      <c r="C91" s="134"/>
      <c r="D91" s="134" t="str">
        <f ca="1">' '!$A$168</f>
        <v>Description/Remarques</v>
      </c>
      <c r="E91" s="134"/>
      <c r="F91" s="134"/>
    </row>
    <row r="92" spans="1:6" x14ac:dyDescent="0.3">
      <c r="A92" s="129"/>
      <c r="C92" s="705"/>
      <c r="D92" s="705"/>
      <c r="E92" s="705"/>
      <c r="F92" s="705"/>
    </row>
    <row r="93" spans="1:6" x14ac:dyDescent="0.3">
      <c r="A93" s="129"/>
      <c r="C93" s="134"/>
      <c r="D93" s="134" t="str">
        <f ca="1">' '!$A$167</f>
        <v>Calcul</v>
      </c>
      <c r="E93" s="134"/>
      <c r="F93" s="134"/>
    </row>
    <row r="94" spans="1:6" x14ac:dyDescent="0.3">
      <c r="A94" s="129"/>
      <c r="C94" s="705"/>
      <c r="D94" s="705"/>
      <c r="E94" s="705" t="s">
        <v>375</v>
      </c>
      <c r="F94" s="705"/>
    </row>
    <row r="95" spans="1:6" x14ac:dyDescent="0.3">
      <c r="A95" s="129"/>
      <c r="C95" s="134"/>
      <c r="D95" s="135" t="str">
        <f ca="1">' '!$A$169</f>
        <v>Source</v>
      </c>
      <c r="E95" s="134" t="str">
        <f ca="1">' '!$A$170</f>
        <v>Moment de l'enquête &amp; Comparaison avec la branche</v>
      </c>
      <c r="F95" s="134"/>
    </row>
    <row r="96" spans="1:6" x14ac:dyDescent="0.3">
      <c r="A96" s="129"/>
      <c r="C96" s="706"/>
      <c r="D96" s="707"/>
      <c r="E96" s="706"/>
      <c r="F96" s="707"/>
    </row>
    <row r="97" spans="1:6" x14ac:dyDescent="0.3">
      <c r="A97" s="129"/>
      <c r="C97" s="706"/>
      <c r="D97" s="707"/>
      <c r="E97" s="706"/>
      <c r="F97" s="707"/>
    </row>
    <row r="98" spans="1:6" x14ac:dyDescent="0.3">
      <c r="A98" s="129"/>
      <c r="C98" s="706"/>
      <c r="D98" s="707"/>
      <c r="E98" s="706"/>
      <c r="F98" s="707"/>
    </row>
    <row r="99" spans="1:6" x14ac:dyDescent="0.3">
      <c r="A99" s="129"/>
      <c r="C99" s="134"/>
      <c r="D99" s="134"/>
      <c r="E99" s="134"/>
      <c r="F99" s="134"/>
    </row>
    <row r="100" spans="1:6" ht="15.6" x14ac:dyDescent="0.3">
      <c r="A100" s="129"/>
      <c r="D100" s="130"/>
    </row>
    <row r="101" spans="1:6" ht="24" customHeight="1" x14ac:dyDescent="0.3">
      <c r="A101" s="129"/>
      <c r="C101" s="131" t="s">
        <v>615</v>
      </c>
      <c r="D101" s="132">
        <f>__s9</f>
        <v>0</v>
      </c>
      <c r="E101" s="133"/>
      <c r="F101" s="133"/>
    </row>
    <row r="102" spans="1:6" x14ac:dyDescent="0.3">
      <c r="A102" s="129"/>
    </row>
    <row r="103" spans="1:6" x14ac:dyDescent="0.3">
      <c r="A103" s="129"/>
      <c r="C103" s="134"/>
      <c r="D103" s="134" t="str">
        <f ca="1">' '!$A$168</f>
        <v>Description/Remarques</v>
      </c>
      <c r="E103" s="134"/>
      <c r="F103" s="134"/>
    </row>
    <row r="104" spans="1:6" x14ac:dyDescent="0.3">
      <c r="A104" s="129"/>
      <c r="C104" s="705"/>
      <c r="D104" s="705"/>
      <c r="E104" s="705"/>
      <c r="F104" s="705"/>
    </row>
    <row r="105" spans="1:6" x14ac:dyDescent="0.3">
      <c r="A105" s="129"/>
      <c r="C105" s="134"/>
      <c r="D105" s="134" t="str">
        <f ca="1">' '!$A$167</f>
        <v>Calcul</v>
      </c>
      <c r="E105" s="134"/>
      <c r="F105" s="134"/>
    </row>
    <row r="106" spans="1:6" x14ac:dyDescent="0.3">
      <c r="A106" s="129"/>
      <c r="C106" s="705"/>
      <c r="D106" s="705"/>
      <c r="E106" s="705" t="s">
        <v>375</v>
      </c>
      <c r="F106" s="705"/>
    </row>
    <row r="107" spans="1:6" x14ac:dyDescent="0.3">
      <c r="A107" s="129"/>
      <c r="C107" s="134"/>
      <c r="D107" s="135" t="str">
        <f ca="1">' '!$A$169</f>
        <v>Source</v>
      </c>
      <c r="E107" s="134" t="str">
        <f ca="1">' '!$A$170</f>
        <v>Moment de l'enquête &amp; Comparaison avec la branche</v>
      </c>
      <c r="F107" s="134"/>
    </row>
    <row r="108" spans="1:6" x14ac:dyDescent="0.3">
      <c r="A108" s="129"/>
      <c r="C108" s="706"/>
      <c r="D108" s="707"/>
      <c r="E108" s="706"/>
      <c r="F108" s="707"/>
    </row>
    <row r="109" spans="1:6" x14ac:dyDescent="0.3">
      <c r="A109" s="129"/>
      <c r="C109" s="706"/>
      <c r="D109" s="707"/>
      <c r="E109" s="706"/>
      <c r="F109" s="707"/>
    </row>
    <row r="110" spans="1:6" x14ac:dyDescent="0.3">
      <c r="A110" s="129"/>
      <c r="C110" s="706"/>
      <c r="D110" s="707"/>
      <c r="E110" s="706"/>
      <c r="F110" s="707"/>
    </row>
    <row r="111" spans="1:6" x14ac:dyDescent="0.3">
      <c r="A111" s="129"/>
      <c r="C111" s="134"/>
      <c r="D111" s="134"/>
      <c r="E111" s="134"/>
      <c r="F111" s="134"/>
    </row>
    <row r="112" spans="1:6" ht="15.6" x14ac:dyDescent="0.3">
      <c r="A112" s="129"/>
      <c r="D112" s="130"/>
    </row>
    <row r="113" spans="1:6" ht="24" customHeight="1" x14ac:dyDescent="0.3">
      <c r="A113" s="129"/>
      <c r="C113" s="131" t="s">
        <v>616</v>
      </c>
      <c r="D113" s="132">
        <f>__s10</f>
        <v>0</v>
      </c>
      <c r="E113" s="133"/>
      <c r="F113" s="133"/>
    </row>
    <row r="114" spans="1:6" x14ac:dyDescent="0.3">
      <c r="A114" s="129"/>
    </row>
    <row r="115" spans="1:6" x14ac:dyDescent="0.3">
      <c r="A115" s="129"/>
      <c r="C115" s="134"/>
      <c r="D115" s="134" t="str">
        <f ca="1">' '!$A$168</f>
        <v>Description/Remarques</v>
      </c>
      <c r="E115" s="134"/>
      <c r="F115" s="134"/>
    </row>
    <row r="116" spans="1:6" x14ac:dyDescent="0.3">
      <c r="A116" s="129"/>
      <c r="C116" s="705"/>
      <c r="D116" s="705"/>
      <c r="E116" s="705"/>
      <c r="F116" s="705"/>
    </row>
    <row r="117" spans="1:6" x14ac:dyDescent="0.3">
      <c r="A117" s="129"/>
      <c r="C117" s="134"/>
      <c r="D117" s="134" t="str">
        <f ca="1">' '!$A$167</f>
        <v>Calcul</v>
      </c>
      <c r="E117" s="134"/>
      <c r="F117" s="134"/>
    </row>
    <row r="118" spans="1:6" x14ac:dyDescent="0.3">
      <c r="A118" s="129"/>
      <c r="C118" s="705"/>
      <c r="D118" s="705"/>
      <c r="E118" s="705" t="s">
        <v>375</v>
      </c>
      <c r="F118" s="705"/>
    </row>
    <row r="119" spans="1:6" x14ac:dyDescent="0.3">
      <c r="A119" s="129"/>
      <c r="C119" s="134"/>
      <c r="D119" s="135" t="str">
        <f ca="1">' '!$A$169</f>
        <v>Source</v>
      </c>
      <c r="E119" s="134" t="str">
        <f ca="1">' '!$A$170</f>
        <v>Moment de l'enquête &amp; Comparaison avec la branche</v>
      </c>
      <c r="F119" s="134"/>
    </row>
    <row r="120" spans="1:6" x14ac:dyDescent="0.3">
      <c r="A120" s="129"/>
      <c r="C120" s="706"/>
      <c r="D120" s="707"/>
      <c r="E120" s="706"/>
      <c r="F120" s="707"/>
    </row>
    <row r="121" spans="1:6" x14ac:dyDescent="0.3">
      <c r="A121" s="129"/>
      <c r="C121" s="706"/>
      <c r="D121" s="707"/>
      <c r="E121" s="706"/>
      <c r="F121" s="707"/>
    </row>
    <row r="122" spans="1:6" x14ac:dyDescent="0.3">
      <c r="A122" s="129"/>
      <c r="C122" s="706"/>
      <c r="D122" s="707"/>
      <c r="E122" s="706"/>
      <c r="F122" s="707"/>
    </row>
    <row r="123" spans="1:6" x14ac:dyDescent="0.3">
      <c r="A123" s="129"/>
      <c r="C123" s="134"/>
      <c r="D123" s="134"/>
      <c r="E123" s="134"/>
      <c r="F123" s="134"/>
    </row>
    <row r="124" spans="1:6" ht="15.6" x14ac:dyDescent="0.3">
      <c r="A124" s="129"/>
      <c r="D124" s="130"/>
    </row>
    <row r="125" spans="1:6" ht="24" customHeight="1" x14ac:dyDescent="0.3">
      <c r="A125" s="129"/>
      <c r="C125" s="131" t="s">
        <v>617</v>
      </c>
      <c r="D125" s="132">
        <f>__s11</f>
        <v>0</v>
      </c>
      <c r="E125" s="133"/>
      <c r="F125" s="133"/>
    </row>
    <row r="126" spans="1:6" x14ac:dyDescent="0.3">
      <c r="A126" s="129"/>
    </row>
    <row r="127" spans="1:6" x14ac:dyDescent="0.3">
      <c r="A127" s="129"/>
      <c r="C127" s="134"/>
      <c r="D127" s="134" t="str">
        <f ca="1">' '!$A$168</f>
        <v>Description/Remarques</v>
      </c>
      <c r="E127" s="134"/>
      <c r="F127" s="134"/>
    </row>
    <row r="128" spans="1:6" x14ac:dyDescent="0.3">
      <c r="A128" s="129"/>
      <c r="C128" s="705"/>
      <c r="D128" s="705"/>
      <c r="E128" s="705"/>
      <c r="F128" s="705"/>
    </row>
    <row r="129" spans="1:6" x14ac:dyDescent="0.3">
      <c r="A129" s="129"/>
      <c r="C129" s="134"/>
      <c r="D129" s="134" t="str">
        <f ca="1">' '!$A$167</f>
        <v>Calcul</v>
      </c>
      <c r="E129" s="134"/>
      <c r="F129" s="134"/>
    </row>
    <row r="130" spans="1:6" x14ac:dyDescent="0.3">
      <c r="A130" s="129"/>
      <c r="C130" s="705"/>
      <c r="D130" s="705"/>
      <c r="E130" s="705" t="s">
        <v>375</v>
      </c>
      <c r="F130" s="705"/>
    </row>
    <row r="131" spans="1:6" x14ac:dyDescent="0.3">
      <c r="A131" s="129"/>
      <c r="C131" s="134"/>
      <c r="D131" s="135" t="str">
        <f ca="1">' '!$A$169</f>
        <v>Source</v>
      </c>
      <c r="E131" s="134" t="str">
        <f ca="1">' '!$A$170</f>
        <v>Moment de l'enquête &amp; Comparaison avec la branche</v>
      </c>
      <c r="F131" s="134"/>
    </row>
    <row r="132" spans="1:6" x14ac:dyDescent="0.3">
      <c r="A132" s="129"/>
      <c r="C132" s="706"/>
      <c r="D132" s="707"/>
      <c r="E132" s="706"/>
      <c r="F132" s="707"/>
    </row>
    <row r="133" spans="1:6" x14ac:dyDescent="0.3">
      <c r="A133" s="129"/>
      <c r="C133" s="706"/>
      <c r="D133" s="707"/>
      <c r="E133" s="706"/>
      <c r="F133" s="707"/>
    </row>
    <row r="134" spans="1:6" x14ac:dyDescent="0.3">
      <c r="A134" s="129"/>
      <c r="C134" s="706"/>
      <c r="D134" s="707"/>
      <c r="E134" s="706"/>
      <c r="F134" s="707"/>
    </row>
    <row r="135" spans="1:6" x14ac:dyDescent="0.3">
      <c r="A135" s="129"/>
      <c r="C135" s="134"/>
      <c r="D135" s="134"/>
      <c r="E135" s="134"/>
      <c r="F135" s="134"/>
    </row>
    <row r="136" spans="1:6" ht="15.6" x14ac:dyDescent="0.3">
      <c r="A136" s="129"/>
      <c r="D136" s="130"/>
    </row>
    <row r="137" spans="1:6" ht="24" customHeight="1" x14ac:dyDescent="0.3">
      <c r="A137" s="129"/>
      <c r="C137" s="131" t="s">
        <v>618</v>
      </c>
      <c r="D137" s="132">
        <f>__s12</f>
        <v>0</v>
      </c>
      <c r="E137" s="133"/>
      <c r="F137" s="133"/>
    </row>
    <row r="138" spans="1:6" x14ac:dyDescent="0.3">
      <c r="A138" s="129"/>
    </row>
    <row r="139" spans="1:6" x14ac:dyDescent="0.3">
      <c r="A139" s="129"/>
      <c r="C139" s="134"/>
      <c r="D139" s="134" t="str">
        <f ca="1">' '!$A$168</f>
        <v>Description/Remarques</v>
      </c>
      <c r="E139" s="134"/>
      <c r="F139" s="134"/>
    </row>
    <row r="140" spans="1:6" x14ac:dyDescent="0.3">
      <c r="A140" s="129"/>
      <c r="C140" s="705"/>
      <c r="D140" s="705"/>
      <c r="E140" s="705"/>
      <c r="F140" s="705"/>
    </row>
    <row r="141" spans="1:6" x14ac:dyDescent="0.3">
      <c r="A141" s="129"/>
      <c r="C141" s="134"/>
      <c r="D141" s="134" t="str">
        <f ca="1">' '!$A$167</f>
        <v>Calcul</v>
      </c>
      <c r="E141" s="134"/>
      <c r="F141" s="134"/>
    </row>
    <row r="142" spans="1:6" x14ac:dyDescent="0.3">
      <c r="A142" s="129"/>
      <c r="C142" s="705"/>
      <c r="D142" s="705"/>
      <c r="E142" s="705" t="s">
        <v>375</v>
      </c>
      <c r="F142" s="705"/>
    </row>
    <row r="143" spans="1:6" x14ac:dyDescent="0.3">
      <c r="A143" s="129"/>
      <c r="C143" s="134"/>
      <c r="D143" s="135" t="str">
        <f ca="1">' '!$A$169</f>
        <v>Source</v>
      </c>
      <c r="E143" s="134" t="str">
        <f ca="1">' '!$A$170</f>
        <v>Moment de l'enquête &amp; Comparaison avec la branche</v>
      </c>
      <c r="F143" s="134"/>
    </row>
    <row r="144" spans="1:6" x14ac:dyDescent="0.3">
      <c r="A144" s="129"/>
      <c r="C144" s="706"/>
      <c r="D144" s="707"/>
      <c r="E144" s="706"/>
      <c r="F144" s="707"/>
    </row>
    <row r="145" spans="1:6" x14ac:dyDescent="0.3">
      <c r="A145" s="129"/>
      <c r="C145" s="706"/>
      <c r="D145" s="707"/>
      <c r="E145" s="706"/>
      <c r="F145" s="707"/>
    </row>
    <row r="146" spans="1:6" x14ac:dyDescent="0.3">
      <c r="A146" s="129"/>
      <c r="C146" s="706"/>
      <c r="D146" s="707"/>
      <c r="E146" s="706"/>
      <c r="F146" s="707"/>
    </row>
    <row r="147" spans="1:6" x14ac:dyDescent="0.3">
      <c r="A147" s="129"/>
      <c r="C147" s="134"/>
      <c r="D147" s="134"/>
      <c r="E147" s="134"/>
      <c r="F147" s="134"/>
    </row>
    <row r="148" spans="1:6" ht="15.6" x14ac:dyDescent="0.3">
      <c r="A148" s="129"/>
      <c r="D148" s="130"/>
    </row>
    <row r="149" spans="1:6" ht="24" customHeight="1" x14ac:dyDescent="0.3">
      <c r="A149" s="129"/>
      <c r="C149" s="131" t="s">
        <v>619</v>
      </c>
      <c r="D149" s="132">
        <f>__s13</f>
        <v>0</v>
      </c>
      <c r="E149" s="133"/>
      <c r="F149" s="133"/>
    </row>
    <row r="150" spans="1:6" x14ac:dyDescent="0.3">
      <c r="A150" s="129"/>
    </row>
    <row r="151" spans="1:6" x14ac:dyDescent="0.3">
      <c r="A151" s="129"/>
      <c r="C151" s="134"/>
      <c r="D151" s="134" t="str">
        <f ca="1">' '!$A$168</f>
        <v>Description/Remarques</v>
      </c>
      <c r="E151" s="134"/>
      <c r="F151" s="134"/>
    </row>
    <row r="152" spans="1:6" x14ac:dyDescent="0.3">
      <c r="A152" s="129"/>
      <c r="C152" s="705"/>
      <c r="D152" s="705"/>
      <c r="E152" s="705"/>
      <c r="F152" s="705"/>
    </row>
    <row r="153" spans="1:6" x14ac:dyDescent="0.3">
      <c r="A153" s="129"/>
      <c r="C153" s="134"/>
      <c r="D153" s="134" t="str">
        <f ca="1">' '!$A$167</f>
        <v>Calcul</v>
      </c>
      <c r="E153" s="134"/>
      <c r="F153" s="134"/>
    </row>
    <row r="154" spans="1:6" x14ac:dyDescent="0.3">
      <c r="A154" s="129"/>
      <c r="C154" s="705"/>
      <c r="D154" s="705"/>
      <c r="E154" s="705" t="s">
        <v>375</v>
      </c>
      <c r="F154" s="705"/>
    </row>
    <row r="155" spans="1:6" x14ac:dyDescent="0.3">
      <c r="A155" s="129"/>
      <c r="C155" s="134"/>
      <c r="D155" s="135" t="str">
        <f ca="1">' '!$A$169</f>
        <v>Source</v>
      </c>
      <c r="E155" s="134" t="str">
        <f ca="1">' '!$A$170</f>
        <v>Moment de l'enquête &amp; Comparaison avec la branche</v>
      </c>
      <c r="F155" s="134"/>
    </row>
    <row r="156" spans="1:6" x14ac:dyDescent="0.3">
      <c r="A156" s="129"/>
      <c r="C156" s="706"/>
      <c r="D156" s="707"/>
      <c r="E156" s="706"/>
      <c r="F156" s="707"/>
    </row>
    <row r="157" spans="1:6" x14ac:dyDescent="0.3">
      <c r="A157" s="129"/>
      <c r="C157" s="706"/>
      <c r="D157" s="707"/>
      <c r="E157" s="706"/>
      <c r="F157" s="707"/>
    </row>
    <row r="158" spans="1:6" x14ac:dyDescent="0.3">
      <c r="A158" s="129"/>
      <c r="C158" s="706"/>
      <c r="D158" s="707"/>
      <c r="E158" s="706"/>
      <c r="F158" s="707"/>
    </row>
    <row r="159" spans="1:6" x14ac:dyDescent="0.3">
      <c r="A159" s="129"/>
      <c r="C159" s="134"/>
      <c r="D159" s="134"/>
      <c r="E159" s="134"/>
      <c r="F159" s="134"/>
    </row>
    <row r="160" spans="1:6" ht="15.6" x14ac:dyDescent="0.3">
      <c r="A160" s="129"/>
      <c r="D160" s="130"/>
    </row>
    <row r="161" spans="1:6" ht="24" customHeight="1" x14ac:dyDescent="0.3">
      <c r="A161" s="129"/>
      <c r="C161" s="131" t="s">
        <v>620</v>
      </c>
      <c r="D161" s="132">
        <f>__s14</f>
        <v>0</v>
      </c>
      <c r="E161" s="133"/>
      <c r="F161" s="133"/>
    </row>
    <row r="162" spans="1:6" x14ac:dyDescent="0.3">
      <c r="A162" s="129"/>
    </row>
    <row r="163" spans="1:6" x14ac:dyDescent="0.3">
      <c r="A163" s="129"/>
      <c r="C163" s="134"/>
      <c r="D163" s="134" t="str">
        <f ca="1">' '!$A$168</f>
        <v>Description/Remarques</v>
      </c>
      <c r="E163" s="134"/>
      <c r="F163" s="134"/>
    </row>
    <row r="164" spans="1:6" x14ac:dyDescent="0.3">
      <c r="A164" s="129"/>
      <c r="C164" s="705"/>
      <c r="D164" s="705"/>
      <c r="E164" s="705"/>
      <c r="F164" s="705"/>
    </row>
    <row r="165" spans="1:6" x14ac:dyDescent="0.3">
      <c r="A165" s="129"/>
      <c r="C165" s="134"/>
      <c r="D165" s="134" t="str">
        <f ca="1">' '!$A$167</f>
        <v>Calcul</v>
      </c>
      <c r="E165" s="134"/>
      <c r="F165" s="134"/>
    </row>
    <row r="166" spans="1:6" x14ac:dyDescent="0.3">
      <c r="A166" s="129"/>
      <c r="C166" s="705"/>
      <c r="D166" s="705"/>
      <c r="E166" s="705" t="s">
        <v>375</v>
      </c>
      <c r="F166" s="705"/>
    </row>
    <row r="167" spans="1:6" x14ac:dyDescent="0.3">
      <c r="A167" s="129"/>
      <c r="C167" s="134"/>
      <c r="D167" s="135" t="str">
        <f ca="1">' '!$A$169</f>
        <v>Source</v>
      </c>
      <c r="E167" s="134" t="str">
        <f ca="1">' '!$A$170</f>
        <v>Moment de l'enquête &amp; Comparaison avec la branche</v>
      </c>
      <c r="F167" s="134"/>
    </row>
    <row r="168" spans="1:6" x14ac:dyDescent="0.3">
      <c r="A168" s="129"/>
      <c r="C168" s="706"/>
      <c r="D168" s="707"/>
      <c r="E168" s="706"/>
      <c r="F168" s="707"/>
    </row>
    <row r="169" spans="1:6" x14ac:dyDescent="0.3">
      <c r="A169" s="129"/>
      <c r="C169" s="706"/>
      <c r="D169" s="707"/>
      <c r="E169" s="706"/>
      <c r="F169" s="707"/>
    </row>
    <row r="170" spans="1:6" x14ac:dyDescent="0.3">
      <c r="A170" s="129"/>
      <c r="C170" s="706"/>
      <c r="D170" s="707"/>
      <c r="E170" s="706"/>
      <c r="F170" s="707"/>
    </row>
    <row r="171" spans="1:6" x14ac:dyDescent="0.3">
      <c r="A171" s="129"/>
      <c r="C171" s="134"/>
      <c r="D171" s="134"/>
      <c r="E171" s="134"/>
      <c r="F171" s="134"/>
    </row>
    <row r="172" spans="1:6" ht="15.6" x14ac:dyDescent="0.3">
      <c r="A172" s="129"/>
      <c r="D172" s="130"/>
    </row>
    <row r="173" spans="1:6" ht="24" customHeight="1" x14ac:dyDescent="0.3">
      <c r="A173" s="129"/>
      <c r="C173" s="131" t="s">
        <v>621</v>
      </c>
      <c r="D173" s="132">
        <f>__s15</f>
        <v>0</v>
      </c>
      <c r="E173" s="133"/>
      <c r="F173" s="133"/>
    </row>
    <row r="174" spans="1:6" x14ac:dyDescent="0.3">
      <c r="A174" s="129"/>
    </row>
    <row r="175" spans="1:6" x14ac:dyDescent="0.3">
      <c r="A175" s="129"/>
      <c r="C175" s="134"/>
      <c r="D175" s="134" t="str">
        <f ca="1">' '!$A$168</f>
        <v>Description/Remarques</v>
      </c>
      <c r="E175" s="134"/>
      <c r="F175" s="134"/>
    </row>
    <row r="176" spans="1:6" x14ac:dyDescent="0.3">
      <c r="A176" s="129"/>
      <c r="C176" s="705"/>
      <c r="D176" s="705"/>
      <c r="E176" s="705"/>
      <c r="F176" s="705"/>
    </row>
    <row r="177" spans="1:6" x14ac:dyDescent="0.3">
      <c r="A177" s="129"/>
      <c r="C177" s="134"/>
      <c r="D177" s="134" t="str">
        <f ca="1">' '!$A$167</f>
        <v>Calcul</v>
      </c>
      <c r="E177" s="134"/>
      <c r="F177" s="134"/>
    </row>
    <row r="178" spans="1:6" x14ac:dyDescent="0.3">
      <c r="A178" s="129"/>
      <c r="C178" s="705"/>
      <c r="D178" s="705"/>
      <c r="E178" s="705" t="s">
        <v>375</v>
      </c>
      <c r="F178" s="705"/>
    </row>
    <row r="179" spans="1:6" x14ac:dyDescent="0.3">
      <c r="A179" s="129"/>
      <c r="C179" s="134"/>
      <c r="D179" s="135" t="str">
        <f ca="1">' '!$A$169</f>
        <v>Source</v>
      </c>
      <c r="E179" s="134" t="str">
        <f ca="1">' '!$A$170</f>
        <v>Moment de l'enquête &amp; Comparaison avec la branche</v>
      </c>
      <c r="F179" s="134"/>
    </row>
    <row r="180" spans="1:6" x14ac:dyDescent="0.3">
      <c r="A180" s="129"/>
      <c r="C180" s="706"/>
      <c r="D180" s="707"/>
      <c r="E180" s="706"/>
      <c r="F180" s="707"/>
    </row>
    <row r="181" spans="1:6" x14ac:dyDescent="0.3">
      <c r="A181" s="129"/>
      <c r="C181" s="706"/>
      <c r="D181" s="707"/>
      <c r="E181" s="706"/>
      <c r="F181" s="707"/>
    </row>
    <row r="182" spans="1:6" x14ac:dyDescent="0.3">
      <c r="A182" s="129"/>
      <c r="C182" s="706"/>
      <c r="D182" s="707"/>
      <c r="E182" s="706"/>
      <c r="F182" s="707"/>
    </row>
    <row r="183" spans="1:6" x14ac:dyDescent="0.3">
      <c r="A183" s="129"/>
      <c r="C183" s="134"/>
      <c r="D183" s="134"/>
      <c r="E183" s="134"/>
      <c r="F183" s="134"/>
    </row>
    <row r="184" spans="1:6" ht="15.6" x14ac:dyDescent="0.3">
      <c r="A184" s="129"/>
      <c r="D184" s="130"/>
    </row>
    <row r="185" spans="1:6" ht="24" customHeight="1" x14ac:dyDescent="0.3">
      <c r="A185" s="129"/>
      <c r="C185" s="131" t="s">
        <v>622</v>
      </c>
      <c r="D185" s="132">
        <f>__s16</f>
        <v>0</v>
      </c>
      <c r="E185" s="133"/>
      <c r="F185" s="133"/>
    </row>
    <row r="186" spans="1:6" x14ac:dyDescent="0.3">
      <c r="A186" s="129"/>
    </row>
    <row r="187" spans="1:6" x14ac:dyDescent="0.3">
      <c r="A187" s="129"/>
      <c r="C187" s="134"/>
      <c r="D187" s="134" t="str">
        <f ca="1">' '!$A$168</f>
        <v>Description/Remarques</v>
      </c>
      <c r="E187" s="134"/>
      <c r="F187" s="134"/>
    </row>
    <row r="188" spans="1:6" x14ac:dyDescent="0.3">
      <c r="A188" s="129"/>
      <c r="C188" s="705"/>
      <c r="D188" s="705"/>
      <c r="E188" s="705"/>
      <c r="F188" s="705"/>
    </row>
    <row r="189" spans="1:6" x14ac:dyDescent="0.3">
      <c r="A189" s="129"/>
      <c r="C189" s="134"/>
      <c r="D189" s="134" t="str">
        <f ca="1">' '!$A$167</f>
        <v>Calcul</v>
      </c>
      <c r="E189" s="134"/>
      <c r="F189" s="134"/>
    </row>
    <row r="190" spans="1:6" x14ac:dyDescent="0.3">
      <c r="A190" s="129"/>
      <c r="C190" s="705"/>
      <c r="D190" s="705"/>
      <c r="E190" s="705" t="s">
        <v>375</v>
      </c>
      <c r="F190" s="705"/>
    </row>
    <row r="191" spans="1:6" x14ac:dyDescent="0.3">
      <c r="A191" s="129"/>
      <c r="C191" s="134"/>
      <c r="D191" s="135" t="str">
        <f ca="1">' '!$A$169</f>
        <v>Source</v>
      </c>
      <c r="E191" s="134" t="str">
        <f ca="1">' '!$A$170</f>
        <v>Moment de l'enquête &amp; Comparaison avec la branche</v>
      </c>
      <c r="F191" s="134"/>
    </row>
    <row r="192" spans="1:6" x14ac:dyDescent="0.3">
      <c r="A192" s="129"/>
      <c r="C192" s="706"/>
      <c r="D192" s="707"/>
      <c r="E192" s="706"/>
      <c r="F192" s="707"/>
    </row>
    <row r="193" spans="1:6" x14ac:dyDescent="0.3">
      <c r="A193" s="129"/>
      <c r="C193" s="706"/>
      <c r="D193" s="707"/>
      <c r="E193" s="706"/>
      <c r="F193" s="707"/>
    </row>
    <row r="194" spans="1:6" x14ac:dyDescent="0.3">
      <c r="A194" s="129"/>
      <c r="C194" s="706"/>
      <c r="D194" s="707"/>
      <c r="E194" s="706"/>
      <c r="F194" s="707"/>
    </row>
    <row r="195" spans="1:6" x14ac:dyDescent="0.3">
      <c r="A195" s="129"/>
      <c r="C195" s="134"/>
      <c r="D195" s="134"/>
      <c r="E195" s="134"/>
      <c r="F195" s="134"/>
    </row>
    <row r="196" spans="1:6" ht="15.6" x14ac:dyDescent="0.3">
      <c r="A196" s="129"/>
      <c r="D196" s="130"/>
    </row>
    <row r="197" spans="1:6" ht="24" customHeight="1" x14ac:dyDescent="0.3">
      <c r="A197" s="129"/>
      <c r="C197" s="131" t="s">
        <v>623</v>
      </c>
      <c r="D197" s="132">
        <f>__s17</f>
        <v>0</v>
      </c>
      <c r="E197" s="133"/>
      <c r="F197" s="133"/>
    </row>
    <row r="198" spans="1:6" x14ac:dyDescent="0.3">
      <c r="A198" s="129"/>
    </row>
    <row r="199" spans="1:6" x14ac:dyDescent="0.3">
      <c r="A199" s="129"/>
      <c r="C199" s="134"/>
      <c r="D199" s="134" t="str">
        <f ca="1">' '!$A$168</f>
        <v>Description/Remarques</v>
      </c>
      <c r="E199" s="134"/>
      <c r="F199" s="134"/>
    </row>
    <row r="200" spans="1:6" x14ac:dyDescent="0.3">
      <c r="A200" s="129"/>
      <c r="C200" s="705"/>
      <c r="D200" s="705"/>
      <c r="E200" s="705"/>
      <c r="F200" s="705"/>
    </row>
    <row r="201" spans="1:6" x14ac:dyDescent="0.3">
      <c r="A201" s="129"/>
      <c r="C201" s="134"/>
      <c r="D201" s="134" t="str">
        <f ca="1">' '!$A$167</f>
        <v>Calcul</v>
      </c>
      <c r="E201" s="134"/>
      <c r="F201" s="134"/>
    </row>
    <row r="202" spans="1:6" x14ac:dyDescent="0.3">
      <c r="A202" s="129"/>
      <c r="C202" s="705"/>
      <c r="D202" s="705"/>
      <c r="E202" s="705" t="s">
        <v>375</v>
      </c>
      <c r="F202" s="705"/>
    </row>
    <row r="203" spans="1:6" x14ac:dyDescent="0.3">
      <c r="A203" s="129"/>
      <c r="C203" s="134"/>
      <c r="D203" s="135" t="str">
        <f ca="1">' '!$A$169</f>
        <v>Source</v>
      </c>
      <c r="E203" s="134" t="str">
        <f ca="1">' '!$A$170</f>
        <v>Moment de l'enquête &amp; Comparaison avec la branche</v>
      </c>
      <c r="F203" s="134"/>
    </row>
    <row r="204" spans="1:6" x14ac:dyDescent="0.3">
      <c r="A204" s="129"/>
      <c r="C204" s="706"/>
      <c r="D204" s="707"/>
      <c r="E204" s="706"/>
      <c r="F204" s="707"/>
    </row>
    <row r="205" spans="1:6" x14ac:dyDescent="0.3">
      <c r="A205" s="129"/>
      <c r="C205" s="706"/>
      <c r="D205" s="707"/>
      <c r="E205" s="706"/>
      <c r="F205" s="707"/>
    </row>
    <row r="206" spans="1:6" x14ac:dyDescent="0.3">
      <c r="A206" s="129"/>
      <c r="C206" s="706"/>
      <c r="D206" s="707"/>
      <c r="E206" s="706"/>
      <c r="F206" s="707"/>
    </row>
    <row r="207" spans="1:6" x14ac:dyDescent="0.3">
      <c r="A207" s="129"/>
      <c r="C207" s="134"/>
      <c r="D207" s="134"/>
      <c r="E207" s="134"/>
      <c r="F207" s="134"/>
    </row>
    <row r="208" spans="1:6" ht="15.6" x14ac:dyDescent="0.3">
      <c r="A208" s="129"/>
      <c r="D208" s="130"/>
    </row>
    <row r="209" spans="1:6" ht="24" customHeight="1" x14ac:dyDescent="0.3">
      <c r="A209" s="129"/>
      <c r="C209" s="131" t="s">
        <v>624</v>
      </c>
      <c r="D209" s="132">
        <f>__s18</f>
        <v>0</v>
      </c>
      <c r="E209" s="133"/>
      <c r="F209" s="133"/>
    </row>
    <row r="210" spans="1:6" x14ac:dyDescent="0.3">
      <c r="A210" s="129"/>
    </row>
    <row r="211" spans="1:6" x14ac:dyDescent="0.3">
      <c r="A211" s="129"/>
      <c r="C211" s="134"/>
      <c r="D211" s="134" t="str">
        <f ca="1">' '!$A$168</f>
        <v>Description/Remarques</v>
      </c>
      <c r="E211" s="134"/>
      <c r="F211" s="134"/>
    </row>
    <row r="212" spans="1:6" x14ac:dyDescent="0.3">
      <c r="A212" s="129"/>
      <c r="C212" s="705"/>
      <c r="D212" s="705"/>
      <c r="E212" s="705"/>
      <c r="F212" s="705"/>
    </row>
    <row r="213" spans="1:6" x14ac:dyDescent="0.3">
      <c r="A213" s="129"/>
      <c r="C213" s="134"/>
      <c r="D213" s="134" t="str">
        <f ca="1">' '!$A$167</f>
        <v>Calcul</v>
      </c>
      <c r="E213" s="134"/>
      <c r="F213" s="134"/>
    </row>
    <row r="214" spans="1:6" x14ac:dyDescent="0.3">
      <c r="A214" s="129"/>
      <c r="C214" s="705"/>
      <c r="D214" s="705"/>
      <c r="E214" s="705" t="s">
        <v>375</v>
      </c>
      <c r="F214" s="705"/>
    </row>
    <row r="215" spans="1:6" x14ac:dyDescent="0.3">
      <c r="A215" s="129"/>
      <c r="C215" s="134"/>
      <c r="D215" s="135" t="str">
        <f ca="1">' '!$A$169</f>
        <v>Source</v>
      </c>
      <c r="E215" s="134" t="str">
        <f ca="1">' '!$A$170</f>
        <v>Moment de l'enquête &amp; Comparaison avec la branche</v>
      </c>
      <c r="F215" s="134"/>
    </row>
    <row r="216" spans="1:6" x14ac:dyDescent="0.3">
      <c r="A216" s="129"/>
      <c r="C216" s="706"/>
      <c r="D216" s="707"/>
      <c r="E216" s="706"/>
      <c r="F216" s="707"/>
    </row>
    <row r="217" spans="1:6" x14ac:dyDescent="0.3">
      <c r="A217" s="129"/>
      <c r="C217" s="706"/>
      <c r="D217" s="707"/>
      <c r="E217" s="706"/>
      <c r="F217" s="707"/>
    </row>
    <row r="218" spans="1:6" x14ac:dyDescent="0.3">
      <c r="A218" s="129"/>
      <c r="C218" s="706"/>
      <c r="D218" s="707"/>
      <c r="E218" s="706"/>
      <c r="F218" s="707"/>
    </row>
    <row r="219" spans="1:6" x14ac:dyDescent="0.3">
      <c r="A219" s="129"/>
      <c r="C219" s="134"/>
      <c r="D219" s="134"/>
      <c r="E219" s="134"/>
      <c r="F219" s="134"/>
    </row>
    <row r="220" spans="1:6" ht="15.6" x14ac:dyDescent="0.3">
      <c r="A220" s="129"/>
      <c r="D220" s="130"/>
    </row>
    <row r="221" spans="1:6" ht="24" customHeight="1" x14ac:dyDescent="0.3">
      <c r="A221" s="129"/>
      <c r="C221" s="131" t="s">
        <v>625</v>
      </c>
      <c r="D221" s="132">
        <f>__s19</f>
        <v>0</v>
      </c>
      <c r="E221" s="133"/>
      <c r="F221" s="133"/>
    </row>
    <row r="222" spans="1:6" x14ac:dyDescent="0.3">
      <c r="A222" s="129"/>
    </row>
    <row r="223" spans="1:6" x14ac:dyDescent="0.3">
      <c r="A223" s="129"/>
      <c r="C223" s="134"/>
      <c r="D223" s="134" t="str">
        <f ca="1">' '!$A$168</f>
        <v>Description/Remarques</v>
      </c>
      <c r="E223" s="134"/>
      <c r="F223" s="134"/>
    </row>
    <row r="224" spans="1:6" x14ac:dyDescent="0.3">
      <c r="A224" s="129"/>
      <c r="C224" s="705"/>
      <c r="D224" s="705"/>
      <c r="E224" s="705"/>
      <c r="F224" s="705"/>
    </row>
    <row r="225" spans="1:6" x14ac:dyDescent="0.3">
      <c r="A225" s="129"/>
      <c r="C225" s="134"/>
      <c r="D225" s="134" t="str">
        <f ca="1">' '!$A$167</f>
        <v>Calcul</v>
      </c>
      <c r="E225" s="134"/>
      <c r="F225" s="134"/>
    </row>
    <row r="226" spans="1:6" x14ac:dyDescent="0.3">
      <c r="A226" s="129"/>
      <c r="C226" s="705"/>
      <c r="D226" s="705"/>
      <c r="E226" s="705" t="s">
        <v>375</v>
      </c>
      <c r="F226" s="705"/>
    </row>
    <row r="227" spans="1:6" x14ac:dyDescent="0.3">
      <c r="A227" s="129"/>
      <c r="C227" s="134"/>
      <c r="D227" s="135" t="str">
        <f ca="1">' '!$A$169</f>
        <v>Source</v>
      </c>
      <c r="E227" s="134" t="str">
        <f ca="1">' '!$A$170</f>
        <v>Moment de l'enquête &amp; Comparaison avec la branche</v>
      </c>
      <c r="F227" s="134"/>
    </row>
    <row r="228" spans="1:6" x14ac:dyDescent="0.3">
      <c r="A228" s="129"/>
      <c r="C228" s="706"/>
      <c r="D228" s="707"/>
      <c r="E228" s="706"/>
      <c r="F228" s="707"/>
    </row>
    <row r="229" spans="1:6" x14ac:dyDescent="0.3">
      <c r="A229" s="129"/>
      <c r="C229" s="706"/>
      <c r="D229" s="707"/>
      <c r="E229" s="706"/>
      <c r="F229" s="707"/>
    </row>
    <row r="230" spans="1:6" x14ac:dyDescent="0.3">
      <c r="A230" s="129"/>
      <c r="C230" s="706"/>
      <c r="D230" s="707"/>
      <c r="E230" s="706"/>
      <c r="F230" s="707"/>
    </row>
    <row r="231" spans="1:6" x14ac:dyDescent="0.3">
      <c r="A231" s="129"/>
      <c r="C231" s="134"/>
      <c r="D231" s="134"/>
      <c r="E231" s="134"/>
      <c r="F231" s="134"/>
    </row>
    <row r="232" spans="1:6" ht="15.6" x14ac:dyDescent="0.3">
      <c r="A232" s="129"/>
      <c r="D232" s="130"/>
    </row>
    <row r="233" spans="1:6" ht="24" customHeight="1" x14ac:dyDescent="0.3">
      <c r="A233" s="129"/>
      <c r="C233" s="131" t="s">
        <v>626</v>
      </c>
      <c r="D233" s="132">
        <f>__s20</f>
        <v>0</v>
      </c>
      <c r="E233" s="133"/>
      <c r="F233" s="133"/>
    </row>
    <row r="234" spans="1:6" x14ac:dyDescent="0.3">
      <c r="A234" s="129"/>
    </row>
    <row r="235" spans="1:6" x14ac:dyDescent="0.3">
      <c r="A235" s="129"/>
      <c r="C235" s="134"/>
      <c r="D235" s="134" t="str">
        <f ca="1">' '!$A$168</f>
        <v>Description/Remarques</v>
      </c>
      <c r="E235" s="134"/>
      <c r="F235" s="134"/>
    </row>
    <row r="236" spans="1:6" x14ac:dyDescent="0.3">
      <c r="A236" s="129"/>
      <c r="C236" s="705"/>
      <c r="D236" s="705"/>
      <c r="E236" s="705"/>
      <c r="F236" s="705"/>
    </row>
    <row r="237" spans="1:6" x14ac:dyDescent="0.3">
      <c r="A237" s="129"/>
      <c r="C237" s="134"/>
      <c r="D237" s="134" t="str">
        <f ca="1">' '!$A$167</f>
        <v>Calcul</v>
      </c>
      <c r="E237" s="134"/>
      <c r="F237" s="134"/>
    </row>
    <row r="238" spans="1:6" x14ac:dyDescent="0.3">
      <c r="A238" s="129"/>
      <c r="C238" s="705"/>
      <c r="D238" s="705"/>
      <c r="E238" s="705" t="s">
        <v>375</v>
      </c>
      <c r="F238" s="705"/>
    </row>
    <row r="239" spans="1:6" x14ac:dyDescent="0.3">
      <c r="A239" s="129"/>
      <c r="C239" s="134"/>
      <c r="D239" s="135" t="str">
        <f ca="1">' '!$A$169</f>
        <v>Source</v>
      </c>
      <c r="E239" s="134" t="str">
        <f ca="1">' '!$A$170</f>
        <v>Moment de l'enquête &amp; Comparaison avec la branche</v>
      </c>
      <c r="F239" s="134"/>
    </row>
    <row r="240" spans="1:6" x14ac:dyDescent="0.3">
      <c r="A240" s="129"/>
      <c r="C240" s="706"/>
      <c r="D240" s="707"/>
      <c r="E240" s="706"/>
      <c r="F240" s="707"/>
    </row>
    <row r="241" spans="1:6" x14ac:dyDescent="0.3">
      <c r="A241" s="129"/>
      <c r="C241" s="706"/>
      <c r="D241" s="707"/>
      <c r="E241" s="706"/>
      <c r="F241" s="707"/>
    </row>
    <row r="242" spans="1:6" x14ac:dyDescent="0.3">
      <c r="A242" s="129"/>
      <c r="C242" s="706"/>
      <c r="D242" s="707"/>
      <c r="E242" s="706"/>
      <c r="F242" s="707"/>
    </row>
    <row r="243" spans="1:6" x14ac:dyDescent="0.3">
      <c r="A243" s="129"/>
      <c r="C243" s="134"/>
      <c r="D243" s="134"/>
      <c r="E243" s="134"/>
      <c r="F243" s="134"/>
    </row>
    <row r="244" spans="1:6" ht="15.6" x14ac:dyDescent="0.3">
      <c r="A244" s="129"/>
      <c r="D244" s="130"/>
    </row>
    <row r="245" spans="1:6" ht="24" customHeight="1" x14ac:dyDescent="0.3">
      <c r="A245" s="129"/>
      <c r="C245" s="131" t="s">
        <v>627</v>
      </c>
      <c r="D245" s="132">
        <f>__s21</f>
        <v>0</v>
      </c>
      <c r="E245" s="133"/>
      <c r="F245" s="133"/>
    </row>
    <row r="246" spans="1:6" x14ac:dyDescent="0.3">
      <c r="A246" s="129"/>
    </row>
    <row r="247" spans="1:6" x14ac:dyDescent="0.3">
      <c r="A247" s="129"/>
      <c r="C247" s="134"/>
      <c r="D247" s="134" t="str">
        <f ca="1">' '!$A$168</f>
        <v>Description/Remarques</v>
      </c>
      <c r="E247" s="134"/>
      <c r="F247" s="134"/>
    </row>
    <row r="248" spans="1:6" x14ac:dyDescent="0.3">
      <c r="A248" s="129"/>
      <c r="C248" s="705"/>
      <c r="D248" s="705"/>
      <c r="E248" s="705"/>
      <c r="F248" s="705"/>
    </row>
    <row r="249" spans="1:6" x14ac:dyDescent="0.3">
      <c r="A249" s="129"/>
      <c r="C249" s="134"/>
      <c r="D249" s="134" t="str">
        <f ca="1">' '!$A$167</f>
        <v>Calcul</v>
      </c>
      <c r="E249" s="134"/>
      <c r="F249" s="134"/>
    </row>
    <row r="250" spans="1:6" x14ac:dyDescent="0.3">
      <c r="A250" s="129"/>
      <c r="C250" s="705"/>
      <c r="D250" s="705"/>
      <c r="E250" s="705" t="s">
        <v>375</v>
      </c>
      <c r="F250" s="705"/>
    </row>
    <row r="251" spans="1:6" x14ac:dyDescent="0.3">
      <c r="A251" s="129"/>
      <c r="C251" s="134"/>
      <c r="D251" s="135" t="str">
        <f ca="1">' '!$A$169</f>
        <v>Source</v>
      </c>
      <c r="E251" s="134" t="str">
        <f ca="1">' '!$A$170</f>
        <v>Moment de l'enquête &amp; Comparaison avec la branche</v>
      </c>
      <c r="F251" s="134"/>
    </row>
    <row r="252" spans="1:6" x14ac:dyDescent="0.3">
      <c r="A252" s="129"/>
      <c r="C252" s="706"/>
      <c r="D252" s="707"/>
      <c r="E252" s="706"/>
      <c r="F252" s="707"/>
    </row>
    <row r="253" spans="1:6" x14ac:dyDescent="0.3">
      <c r="A253" s="129"/>
      <c r="C253" s="706"/>
      <c r="D253" s="707"/>
      <c r="E253" s="706"/>
      <c r="F253" s="707"/>
    </row>
    <row r="254" spans="1:6" x14ac:dyDescent="0.3">
      <c r="A254" s="129"/>
      <c r="C254" s="706"/>
      <c r="D254" s="707"/>
      <c r="E254" s="706"/>
      <c r="F254" s="707"/>
    </row>
    <row r="255" spans="1:6" x14ac:dyDescent="0.3">
      <c r="A255" s="129"/>
      <c r="C255" s="134"/>
      <c r="D255" s="134"/>
      <c r="E255" s="134"/>
      <c r="F255" s="134"/>
    </row>
    <row r="256" spans="1:6" ht="15.6" x14ac:dyDescent="0.3">
      <c r="A256" s="129"/>
      <c r="D256" s="130"/>
    </row>
    <row r="257" spans="1:6" ht="24" customHeight="1" x14ac:dyDescent="0.3">
      <c r="A257" s="129"/>
      <c r="C257" s="131" t="s">
        <v>628</v>
      </c>
      <c r="D257" s="132">
        <f>__s22</f>
        <v>0</v>
      </c>
      <c r="E257" s="133"/>
      <c r="F257" s="133"/>
    </row>
    <row r="258" spans="1:6" x14ac:dyDescent="0.3">
      <c r="A258" s="129"/>
    </row>
    <row r="259" spans="1:6" x14ac:dyDescent="0.3">
      <c r="A259" s="129"/>
      <c r="C259" s="134"/>
      <c r="D259" s="134" t="str">
        <f ca="1">' '!$A$168</f>
        <v>Description/Remarques</v>
      </c>
      <c r="E259" s="134"/>
      <c r="F259" s="134"/>
    </row>
    <row r="260" spans="1:6" x14ac:dyDescent="0.3">
      <c r="A260" s="129"/>
      <c r="C260" s="705"/>
      <c r="D260" s="705"/>
      <c r="E260" s="705"/>
      <c r="F260" s="705"/>
    </row>
    <row r="261" spans="1:6" x14ac:dyDescent="0.3">
      <c r="A261" s="129"/>
      <c r="C261" s="134"/>
      <c r="D261" s="134" t="str">
        <f ca="1">' '!$A$167</f>
        <v>Calcul</v>
      </c>
      <c r="E261" s="134"/>
      <c r="F261" s="134"/>
    </row>
    <row r="262" spans="1:6" x14ac:dyDescent="0.3">
      <c r="A262" s="129"/>
      <c r="C262" s="705"/>
      <c r="D262" s="705"/>
      <c r="E262" s="705" t="s">
        <v>375</v>
      </c>
      <c r="F262" s="705"/>
    </row>
    <row r="263" spans="1:6" x14ac:dyDescent="0.3">
      <c r="A263" s="129"/>
      <c r="C263" s="134"/>
      <c r="D263" s="135" t="str">
        <f ca="1">' '!$A$169</f>
        <v>Source</v>
      </c>
      <c r="E263" s="134" t="str">
        <f ca="1">' '!$A$170</f>
        <v>Moment de l'enquête &amp; Comparaison avec la branche</v>
      </c>
      <c r="F263" s="134"/>
    </row>
    <row r="264" spans="1:6" x14ac:dyDescent="0.3">
      <c r="A264" s="129"/>
      <c r="C264" s="706"/>
      <c r="D264" s="707"/>
      <c r="E264" s="706"/>
      <c r="F264" s="707"/>
    </row>
    <row r="265" spans="1:6" x14ac:dyDescent="0.3">
      <c r="A265" s="129"/>
      <c r="C265" s="706"/>
      <c r="D265" s="707"/>
      <c r="E265" s="706"/>
      <c r="F265" s="707"/>
    </row>
    <row r="266" spans="1:6" x14ac:dyDescent="0.3">
      <c r="A266" s="129"/>
      <c r="C266" s="706"/>
      <c r="D266" s="707"/>
      <c r="E266" s="706"/>
      <c r="F266" s="707"/>
    </row>
    <row r="267" spans="1:6" x14ac:dyDescent="0.3">
      <c r="A267" s="129"/>
      <c r="C267" s="134"/>
      <c r="D267" s="134"/>
      <c r="E267" s="134"/>
      <c r="F267" s="134"/>
    </row>
    <row r="268" spans="1:6" ht="15.6" x14ac:dyDescent="0.3">
      <c r="A268" s="129"/>
      <c r="D268" s="130"/>
    </row>
    <row r="269" spans="1:6" ht="24" customHeight="1" x14ac:dyDescent="0.3">
      <c r="A269" s="129"/>
      <c r="C269" s="131" t="s">
        <v>629</v>
      </c>
      <c r="D269" s="132">
        <f>__s23</f>
        <v>0</v>
      </c>
      <c r="E269" s="133"/>
      <c r="F269" s="133"/>
    </row>
    <row r="270" spans="1:6" x14ac:dyDescent="0.3">
      <c r="A270" s="129"/>
    </row>
    <row r="271" spans="1:6" x14ac:dyDescent="0.3">
      <c r="A271" s="129"/>
      <c r="C271" s="134"/>
      <c r="D271" s="134" t="str">
        <f ca="1">' '!$A$168</f>
        <v>Description/Remarques</v>
      </c>
      <c r="E271" s="134"/>
      <c r="F271" s="134"/>
    </row>
    <row r="272" spans="1:6" x14ac:dyDescent="0.3">
      <c r="A272" s="129"/>
      <c r="C272" s="705"/>
      <c r="D272" s="705"/>
      <c r="E272" s="705"/>
      <c r="F272" s="705"/>
    </row>
    <row r="273" spans="1:6" x14ac:dyDescent="0.3">
      <c r="A273" s="129"/>
      <c r="C273" s="134"/>
      <c r="D273" s="134" t="str">
        <f ca="1">' '!$A$167</f>
        <v>Calcul</v>
      </c>
      <c r="E273" s="134"/>
      <c r="F273" s="134"/>
    </row>
    <row r="274" spans="1:6" x14ac:dyDescent="0.3">
      <c r="A274" s="129"/>
      <c r="C274" s="705"/>
      <c r="D274" s="705"/>
      <c r="E274" s="705" t="s">
        <v>375</v>
      </c>
      <c r="F274" s="705"/>
    </row>
    <row r="275" spans="1:6" x14ac:dyDescent="0.3">
      <c r="A275" s="129"/>
      <c r="C275" s="134"/>
      <c r="D275" s="135" t="str">
        <f ca="1">' '!$A$169</f>
        <v>Source</v>
      </c>
      <c r="E275" s="134" t="str">
        <f ca="1">' '!$A$170</f>
        <v>Moment de l'enquête &amp; Comparaison avec la branche</v>
      </c>
      <c r="F275" s="134"/>
    </row>
    <row r="276" spans="1:6" x14ac:dyDescent="0.3">
      <c r="A276" s="129"/>
      <c r="C276" s="706"/>
      <c r="D276" s="707"/>
      <c r="E276" s="706"/>
      <c r="F276" s="707"/>
    </row>
    <row r="277" spans="1:6" x14ac:dyDescent="0.3">
      <c r="A277" s="129"/>
      <c r="C277" s="706"/>
      <c r="D277" s="707"/>
      <c r="E277" s="706"/>
      <c r="F277" s="707"/>
    </row>
    <row r="278" spans="1:6" x14ac:dyDescent="0.3">
      <c r="A278" s="129"/>
      <c r="C278" s="706"/>
      <c r="D278" s="707"/>
      <c r="E278" s="706"/>
      <c r="F278" s="707"/>
    </row>
    <row r="279" spans="1:6" x14ac:dyDescent="0.3">
      <c r="A279" s="129"/>
      <c r="C279" s="134"/>
      <c r="D279" s="134"/>
      <c r="E279" s="134"/>
      <c r="F279" s="134"/>
    </row>
    <row r="280" spans="1:6" ht="15.6" x14ac:dyDescent="0.3">
      <c r="A280" s="129"/>
      <c r="D280" s="130"/>
    </row>
    <row r="281" spans="1:6" ht="24" customHeight="1" x14ac:dyDescent="0.3">
      <c r="A281" s="129"/>
      <c r="C281" s="131" t="s">
        <v>630</v>
      </c>
      <c r="D281" s="132">
        <f>__s24</f>
        <v>0</v>
      </c>
      <c r="E281" s="133"/>
      <c r="F281" s="133"/>
    </row>
    <row r="282" spans="1:6" x14ac:dyDescent="0.3">
      <c r="A282" s="129"/>
    </row>
    <row r="283" spans="1:6" x14ac:dyDescent="0.3">
      <c r="A283" s="129"/>
      <c r="C283" s="134"/>
      <c r="D283" s="134" t="str">
        <f ca="1">' '!$A$168</f>
        <v>Description/Remarques</v>
      </c>
      <c r="E283" s="134"/>
      <c r="F283" s="134"/>
    </row>
    <row r="284" spans="1:6" x14ac:dyDescent="0.3">
      <c r="A284" s="129"/>
      <c r="C284" s="705"/>
      <c r="D284" s="705"/>
      <c r="E284" s="705"/>
      <c r="F284" s="705"/>
    </row>
    <row r="285" spans="1:6" x14ac:dyDescent="0.3">
      <c r="A285" s="129"/>
      <c r="C285" s="134"/>
      <c r="D285" s="134" t="str">
        <f ca="1">' '!$A$167</f>
        <v>Calcul</v>
      </c>
      <c r="E285" s="134"/>
      <c r="F285" s="134"/>
    </row>
    <row r="286" spans="1:6" x14ac:dyDescent="0.3">
      <c r="A286" s="129"/>
      <c r="C286" s="705"/>
      <c r="D286" s="705"/>
      <c r="E286" s="705" t="s">
        <v>375</v>
      </c>
      <c r="F286" s="705"/>
    </row>
    <row r="287" spans="1:6" x14ac:dyDescent="0.3">
      <c r="A287" s="129"/>
      <c r="C287" s="134"/>
      <c r="D287" s="135" t="str">
        <f ca="1">' '!$A$169</f>
        <v>Source</v>
      </c>
      <c r="E287" s="134" t="str">
        <f ca="1">' '!$A$170</f>
        <v>Moment de l'enquête &amp; Comparaison avec la branche</v>
      </c>
      <c r="F287" s="134"/>
    </row>
    <row r="288" spans="1:6" x14ac:dyDescent="0.3">
      <c r="A288" s="129"/>
      <c r="C288" s="706"/>
      <c r="D288" s="707"/>
      <c r="E288" s="706"/>
      <c r="F288" s="707"/>
    </row>
    <row r="289" spans="1:6" x14ac:dyDescent="0.3">
      <c r="A289" s="129"/>
      <c r="C289" s="706"/>
      <c r="D289" s="707"/>
      <c r="E289" s="706"/>
      <c r="F289" s="707"/>
    </row>
    <row r="290" spans="1:6" x14ac:dyDescent="0.3">
      <c r="A290" s="129"/>
      <c r="C290" s="706"/>
      <c r="D290" s="707"/>
      <c r="E290" s="706"/>
      <c r="F290" s="707"/>
    </row>
    <row r="291" spans="1:6" x14ac:dyDescent="0.3">
      <c r="A291" s="129"/>
      <c r="C291" s="134"/>
      <c r="D291" s="134"/>
      <c r="E291" s="134"/>
      <c r="F291" s="134"/>
    </row>
    <row r="292" spans="1:6" ht="15.6" x14ac:dyDescent="0.3">
      <c r="A292" s="129"/>
      <c r="D292" s="130"/>
    </row>
    <row r="293" spans="1:6" ht="24" customHeight="1" x14ac:dyDescent="0.3">
      <c r="A293" s="129"/>
      <c r="C293" s="131" t="s">
        <v>631</v>
      </c>
      <c r="D293" s="132">
        <f>__s25</f>
        <v>0</v>
      </c>
      <c r="E293" s="133"/>
      <c r="F293" s="133"/>
    </row>
    <row r="294" spans="1:6" x14ac:dyDescent="0.3">
      <c r="A294" s="129"/>
    </row>
    <row r="295" spans="1:6" x14ac:dyDescent="0.3">
      <c r="A295" s="129"/>
      <c r="C295" s="134"/>
      <c r="D295" s="134" t="str">
        <f ca="1">' '!$A$168</f>
        <v>Description/Remarques</v>
      </c>
      <c r="E295" s="134"/>
      <c r="F295" s="134"/>
    </row>
    <row r="296" spans="1:6" x14ac:dyDescent="0.3">
      <c r="A296" s="129"/>
      <c r="C296" s="705"/>
      <c r="D296" s="705"/>
      <c r="E296" s="705"/>
      <c r="F296" s="705"/>
    </row>
    <row r="297" spans="1:6" x14ac:dyDescent="0.3">
      <c r="A297" s="129"/>
      <c r="C297" s="134"/>
      <c r="D297" s="134" t="str">
        <f ca="1">' '!$A$167</f>
        <v>Calcul</v>
      </c>
      <c r="E297" s="134"/>
      <c r="F297" s="134"/>
    </row>
    <row r="298" spans="1:6" x14ac:dyDescent="0.3">
      <c r="A298" s="129"/>
      <c r="C298" s="705"/>
      <c r="D298" s="705"/>
      <c r="E298" s="705" t="s">
        <v>375</v>
      </c>
      <c r="F298" s="705"/>
    </row>
    <row r="299" spans="1:6" x14ac:dyDescent="0.3">
      <c r="A299" s="129"/>
      <c r="C299" s="134"/>
      <c r="D299" s="135" t="str">
        <f ca="1">' '!$A$169</f>
        <v>Source</v>
      </c>
      <c r="E299" s="134" t="str">
        <f ca="1">' '!$A$170</f>
        <v>Moment de l'enquête &amp; Comparaison avec la branche</v>
      </c>
      <c r="F299" s="134"/>
    </row>
    <row r="300" spans="1:6" x14ac:dyDescent="0.3">
      <c r="A300" s="129"/>
      <c r="C300" s="706"/>
      <c r="D300" s="707"/>
      <c r="E300" s="706"/>
      <c r="F300" s="707"/>
    </row>
    <row r="301" spans="1:6" x14ac:dyDescent="0.3">
      <c r="A301" s="129"/>
      <c r="C301" s="706"/>
      <c r="D301" s="707"/>
      <c r="E301" s="706"/>
      <c r="F301" s="707"/>
    </row>
    <row r="302" spans="1:6" x14ac:dyDescent="0.3">
      <c r="A302" s="129"/>
      <c r="C302" s="706"/>
      <c r="D302" s="707"/>
      <c r="E302" s="706"/>
      <c r="F302" s="707"/>
    </row>
    <row r="303" spans="1:6" x14ac:dyDescent="0.3">
      <c r="A303" s="129"/>
      <c r="C303" s="134"/>
      <c r="D303" s="134"/>
      <c r="E303" s="134"/>
      <c r="F303" s="134"/>
    </row>
    <row r="304" spans="1:6" ht="15.6" x14ac:dyDescent="0.3">
      <c r="A304" s="129"/>
      <c r="D304" s="130"/>
    </row>
    <row r="305" spans="1:6" ht="24" customHeight="1" x14ac:dyDescent="0.3">
      <c r="A305" s="129"/>
      <c r="C305" s="131" t="s">
        <v>632</v>
      </c>
      <c r="D305" s="132">
        <f>__s26</f>
        <v>0</v>
      </c>
      <c r="E305" s="133"/>
      <c r="F305" s="133"/>
    </row>
    <row r="306" spans="1:6" x14ac:dyDescent="0.3">
      <c r="A306" s="129"/>
    </row>
    <row r="307" spans="1:6" x14ac:dyDescent="0.3">
      <c r="A307" s="129"/>
      <c r="C307" s="134"/>
      <c r="D307" s="134" t="str">
        <f ca="1">' '!$A$168</f>
        <v>Description/Remarques</v>
      </c>
      <c r="E307" s="134"/>
      <c r="F307" s="134"/>
    </row>
    <row r="308" spans="1:6" x14ac:dyDescent="0.3">
      <c r="A308" s="129"/>
      <c r="C308" s="705"/>
      <c r="D308" s="705"/>
      <c r="E308" s="705"/>
      <c r="F308" s="705"/>
    </row>
    <row r="309" spans="1:6" x14ac:dyDescent="0.3">
      <c r="A309" s="129"/>
      <c r="C309" s="134"/>
      <c r="D309" s="134" t="str">
        <f ca="1">' '!$A$167</f>
        <v>Calcul</v>
      </c>
      <c r="E309" s="134"/>
      <c r="F309" s="134"/>
    </row>
    <row r="310" spans="1:6" x14ac:dyDescent="0.3">
      <c r="A310" s="129"/>
      <c r="C310" s="705"/>
      <c r="D310" s="705"/>
      <c r="E310" s="705" t="s">
        <v>375</v>
      </c>
      <c r="F310" s="705"/>
    </row>
    <row r="311" spans="1:6" x14ac:dyDescent="0.3">
      <c r="A311" s="129"/>
      <c r="C311" s="134"/>
      <c r="D311" s="135" t="str">
        <f ca="1">' '!$A$169</f>
        <v>Source</v>
      </c>
      <c r="E311" s="134" t="str">
        <f ca="1">' '!$A$170</f>
        <v>Moment de l'enquête &amp; Comparaison avec la branche</v>
      </c>
      <c r="F311" s="134"/>
    </row>
    <row r="312" spans="1:6" x14ac:dyDescent="0.3">
      <c r="A312" s="129"/>
      <c r="C312" s="706"/>
      <c r="D312" s="707"/>
      <c r="E312" s="706"/>
      <c r="F312" s="707"/>
    </row>
    <row r="313" spans="1:6" x14ac:dyDescent="0.3">
      <c r="A313" s="129"/>
      <c r="C313" s="706"/>
      <c r="D313" s="707"/>
      <c r="E313" s="706"/>
      <c r="F313" s="707"/>
    </row>
    <row r="314" spans="1:6" x14ac:dyDescent="0.3">
      <c r="A314" s="129"/>
      <c r="C314" s="706"/>
      <c r="D314" s="707"/>
      <c r="E314" s="706"/>
      <c r="F314" s="707"/>
    </row>
    <row r="315" spans="1:6" x14ac:dyDescent="0.3">
      <c r="A315" s="129"/>
      <c r="C315" s="134"/>
      <c r="D315" s="134"/>
      <c r="E315" s="134"/>
      <c r="F315" s="134"/>
    </row>
    <row r="316" spans="1:6" ht="15.6" x14ac:dyDescent="0.3">
      <c r="A316" s="129"/>
      <c r="D316" s="130"/>
    </row>
    <row r="317" spans="1:6" ht="24" customHeight="1" x14ac:dyDescent="0.3">
      <c r="A317" s="129"/>
      <c r="C317" s="131" t="s">
        <v>633</v>
      </c>
      <c r="D317" s="132">
        <f>__s27</f>
        <v>0</v>
      </c>
      <c r="E317" s="133"/>
      <c r="F317" s="133"/>
    </row>
    <row r="318" spans="1:6" x14ac:dyDescent="0.3">
      <c r="A318" s="129"/>
    </row>
    <row r="319" spans="1:6" x14ac:dyDescent="0.3">
      <c r="A319" s="129"/>
      <c r="C319" s="134"/>
      <c r="D319" s="134" t="str">
        <f ca="1">' '!$A$168</f>
        <v>Description/Remarques</v>
      </c>
      <c r="E319" s="134"/>
      <c r="F319" s="134"/>
    </row>
    <row r="320" spans="1:6" x14ac:dyDescent="0.3">
      <c r="A320" s="129"/>
      <c r="C320" s="705"/>
      <c r="D320" s="705"/>
      <c r="E320" s="705"/>
      <c r="F320" s="705"/>
    </row>
    <row r="321" spans="1:6" x14ac:dyDescent="0.3">
      <c r="A321" s="129"/>
      <c r="C321" s="134"/>
      <c r="D321" s="134" t="str">
        <f ca="1">' '!$A$167</f>
        <v>Calcul</v>
      </c>
      <c r="E321" s="134"/>
      <c r="F321" s="134"/>
    </row>
    <row r="322" spans="1:6" x14ac:dyDescent="0.3">
      <c r="A322" s="129"/>
      <c r="C322" s="705"/>
      <c r="D322" s="705"/>
      <c r="E322" s="705" t="s">
        <v>375</v>
      </c>
      <c r="F322" s="705"/>
    </row>
    <row r="323" spans="1:6" x14ac:dyDescent="0.3">
      <c r="A323" s="129"/>
      <c r="C323" s="134"/>
      <c r="D323" s="135" t="str">
        <f ca="1">' '!$A$169</f>
        <v>Source</v>
      </c>
      <c r="E323" s="134" t="str">
        <f ca="1">' '!$A$170</f>
        <v>Moment de l'enquête &amp; Comparaison avec la branche</v>
      </c>
      <c r="F323" s="134"/>
    </row>
    <row r="324" spans="1:6" x14ac:dyDescent="0.3">
      <c r="A324" s="129"/>
      <c r="C324" s="706"/>
      <c r="D324" s="707"/>
      <c r="E324" s="706"/>
      <c r="F324" s="707"/>
    </row>
    <row r="325" spans="1:6" x14ac:dyDescent="0.3">
      <c r="A325" s="129"/>
      <c r="C325" s="706"/>
      <c r="D325" s="707"/>
      <c r="E325" s="706"/>
      <c r="F325" s="707"/>
    </row>
    <row r="326" spans="1:6" x14ac:dyDescent="0.3">
      <c r="A326" s="129"/>
      <c r="C326" s="706"/>
      <c r="D326" s="707"/>
      <c r="E326" s="706"/>
      <c r="F326" s="707"/>
    </row>
    <row r="327" spans="1:6" x14ac:dyDescent="0.3">
      <c r="A327" s="129"/>
      <c r="C327" s="134"/>
      <c r="D327" s="134"/>
      <c r="E327" s="134"/>
      <c r="F327" s="134"/>
    </row>
    <row r="328" spans="1:6" ht="15.6" x14ac:dyDescent="0.3">
      <c r="A328" s="129"/>
      <c r="D328" s="130"/>
    </row>
    <row r="329" spans="1:6" ht="24" customHeight="1" x14ac:dyDescent="0.3">
      <c r="A329" s="129"/>
      <c r="C329" s="131" t="s">
        <v>634</v>
      </c>
      <c r="D329" s="132">
        <f>__s28</f>
        <v>0</v>
      </c>
      <c r="E329" s="133"/>
      <c r="F329" s="133"/>
    </row>
    <row r="330" spans="1:6" x14ac:dyDescent="0.3">
      <c r="A330" s="129"/>
    </row>
    <row r="331" spans="1:6" x14ac:dyDescent="0.3">
      <c r="A331" s="129"/>
      <c r="C331" s="134"/>
      <c r="D331" s="134" t="str">
        <f ca="1">' '!$A$168</f>
        <v>Description/Remarques</v>
      </c>
      <c r="E331" s="134"/>
      <c r="F331" s="134"/>
    </row>
    <row r="332" spans="1:6" x14ac:dyDescent="0.3">
      <c r="A332" s="129"/>
      <c r="C332" s="705"/>
      <c r="D332" s="705"/>
      <c r="E332" s="705"/>
      <c r="F332" s="705"/>
    </row>
    <row r="333" spans="1:6" x14ac:dyDescent="0.3">
      <c r="A333" s="129"/>
      <c r="C333" s="134"/>
      <c r="D333" s="134" t="str">
        <f ca="1">' '!$A$167</f>
        <v>Calcul</v>
      </c>
      <c r="E333" s="134"/>
      <c r="F333" s="134"/>
    </row>
    <row r="334" spans="1:6" x14ac:dyDescent="0.3">
      <c r="A334" s="129"/>
      <c r="C334" s="705"/>
      <c r="D334" s="705"/>
      <c r="E334" s="705" t="s">
        <v>375</v>
      </c>
      <c r="F334" s="705"/>
    </row>
    <row r="335" spans="1:6" x14ac:dyDescent="0.3">
      <c r="A335" s="129"/>
      <c r="C335" s="134"/>
      <c r="D335" s="135" t="str">
        <f ca="1">' '!$A$169</f>
        <v>Source</v>
      </c>
      <c r="E335" s="134" t="str">
        <f ca="1">' '!$A$170</f>
        <v>Moment de l'enquête &amp; Comparaison avec la branche</v>
      </c>
      <c r="F335" s="134"/>
    </row>
    <row r="336" spans="1:6" x14ac:dyDescent="0.3">
      <c r="A336" s="129"/>
      <c r="C336" s="706"/>
      <c r="D336" s="707"/>
      <c r="E336" s="706"/>
      <c r="F336" s="707"/>
    </row>
    <row r="337" spans="1:6" x14ac:dyDescent="0.3">
      <c r="A337" s="129"/>
      <c r="C337" s="706"/>
      <c r="D337" s="707"/>
      <c r="E337" s="706"/>
      <c r="F337" s="707"/>
    </row>
    <row r="338" spans="1:6" x14ac:dyDescent="0.3">
      <c r="A338" s="129"/>
      <c r="C338" s="706"/>
      <c r="D338" s="707"/>
      <c r="E338" s="706"/>
      <c r="F338" s="707"/>
    </row>
    <row r="339" spans="1:6" x14ac:dyDescent="0.3">
      <c r="A339" s="129"/>
      <c r="C339" s="134"/>
      <c r="D339" s="134"/>
      <c r="E339" s="134"/>
      <c r="F339" s="134"/>
    </row>
    <row r="340" spans="1:6" ht="15.6" x14ac:dyDescent="0.3">
      <c r="A340" s="129"/>
      <c r="D340" s="130"/>
    </row>
    <row r="341" spans="1:6" ht="24" customHeight="1" x14ac:dyDescent="0.3">
      <c r="A341" s="129"/>
      <c r="C341" s="131" t="s">
        <v>635</v>
      </c>
      <c r="D341" s="132">
        <f>__s29</f>
        <v>0</v>
      </c>
      <c r="E341" s="133"/>
      <c r="F341" s="133"/>
    </row>
    <row r="342" spans="1:6" x14ac:dyDescent="0.3">
      <c r="A342" s="129"/>
    </row>
    <row r="343" spans="1:6" x14ac:dyDescent="0.3">
      <c r="A343" s="129"/>
      <c r="C343" s="134"/>
      <c r="D343" s="134" t="str">
        <f ca="1">' '!$A$168</f>
        <v>Description/Remarques</v>
      </c>
      <c r="E343" s="134"/>
      <c r="F343" s="134"/>
    </row>
    <row r="344" spans="1:6" x14ac:dyDescent="0.3">
      <c r="A344" s="129"/>
      <c r="C344" s="705"/>
      <c r="D344" s="705"/>
      <c r="E344" s="705"/>
      <c r="F344" s="705"/>
    </row>
    <row r="345" spans="1:6" x14ac:dyDescent="0.3">
      <c r="A345" s="129"/>
      <c r="C345" s="134"/>
      <c r="D345" s="134" t="str">
        <f ca="1">' '!$A$167</f>
        <v>Calcul</v>
      </c>
      <c r="E345" s="134"/>
      <c r="F345" s="134"/>
    </row>
    <row r="346" spans="1:6" x14ac:dyDescent="0.3">
      <c r="A346" s="129"/>
      <c r="C346" s="705"/>
      <c r="D346" s="705"/>
      <c r="E346" s="705" t="s">
        <v>375</v>
      </c>
      <c r="F346" s="705"/>
    </row>
    <row r="347" spans="1:6" x14ac:dyDescent="0.3">
      <c r="A347" s="129"/>
      <c r="C347" s="134"/>
      <c r="D347" s="135" t="str">
        <f ca="1">' '!$A$169</f>
        <v>Source</v>
      </c>
      <c r="E347" s="134" t="str">
        <f ca="1">' '!$A$170</f>
        <v>Moment de l'enquête &amp; Comparaison avec la branche</v>
      </c>
      <c r="F347" s="134"/>
    </row>
    <row r="348" spans="1:6" x14ac:dyDescent="0.3">
      <c r="A348" s="129"/>
      <c r="C348" s="706"/>
      <c r="D348" s="707"/>
      <c r="E348" s="706"/>
      <c r="F348" s="707"/>
    </row>
    <row r="349" spans="1:6" x14ac:dyDescent="0.3">
      <c r="A349" s="129"/>
      <c r="C349" s="706"/>
      <c r="D349" s="707"/>
      <c r="E349" s="706"/>
      <c r="F349" s="707"/>
    </row>
    <row r="350" spans="1:6" x14ac:dyDescent="0.3">
      <c r="A350" s="129"/>
      <c r="C350" s="706"/>
      <c r="D350" s="707"/>
      <c r="E350" s="706"/>
      <c r="F350" s="707"/>
    </row>
    <row r="351" spans="1:6" x14ac:dyDescent="0.3">
      <c r="A351" s="129"/>
      <c r="C351" s="134"/>
      <c r="D351" s="134"/>
      <c r="E351" s="134"/>
      <c r="F351" s="134"/>
    </row>
    <row r="352" spans="1:6" ht="15.6" x14ac:dyDescent="0.3">
      <c r="A352" s="129"/>
      <c r="D352" s="130"/>
    </row>
    <row r="353" spans="1:6" ht="24" customHeight="1" x14ac:dyDescent="0.3">
      <c r="A353" s="129"/>
      <c r="C353" s="131" t="s">
        <v>636</v>
      </c>
      <c r="D353" s="132">
        <f>__s30</f>
        <v>0</v>
      </c>
      <c r="E353" s="133"/>
      <c r="F353" s="133"/>
    </row>
    <row r="354" spans="1:6" x14ac:dyDescent="0.3">
      <c r="A354" s="129"/>
    </row>
    <row r="355" spans="1:6" x14ac:dyDescent="0.3">
      <c r="A355" s="129"/>
      <c r="C355" s="134"/>
      <c r="D355" s="134" t="str">
        <f ca="1">' '!$A$168</f>
        <v>Description/Remarques</v>
      </c>
      <c r="E355" s="134"/>
      <c r="F355" s="134"/>
    </row>
    <row r="356" spans="1:6" x14ac:dyDescent="0.3">
      <c r="A356" s="129"/>
      <c r="C356" s="705"/>
      <c r="D356" s="705"/>
      <c r="E356" s="705"/>
      <c r="F356" s="705"/>
    </row>
    <row r="357" spans="1:6" x14ac:dyDescent="0.3">
      <c r="A357" s="129"/>
      <c r="C357" s="134"/>
      <c r="D357" s="134" t="str">
        <f ca="1">' '!$A$167</f>
        <v>Calcul</v>
      </c>
      <c r="E357" s="134"/>
      <c r="F357" s="134"/>
    </row>
    <row r="358" spans="1:6" x14ac:dyDescent="0.3">
      <c r="A358" s="129"/>
      <c r="C358" s="705"/>
      <c r="D358" s="705"/>
      <c r="E358" s="705" t="s">
        <v>375</v>
      </c>
      <c r="F358" s="705"/>
    </row>
    <row r="359" spans="1:6" x14ac:dyDescent="0.3">
      <c r="A359" s="129"/>
      <c r="C359" s="134"/>
      <c r="D359" s="135" t="str">
        <f ca="1">' '!$A$169</f>
        <v>Source</v>
      </c>
      <c r="E359" s="134" t="str">
        <f ca="1">' '!$A$170</f>
        <v>Moment de l'enquête &amp; Comparaison avec la branche</v>
      </c>
      <c r="F359" s="134"/>
    </row>
    <row r="360" spans="1:6" x14ac:dyDescent="0.3">
      <c r="A360" s="129"/>
      <c r="C360" s="706"/>
      <c r="D360" s="707"/>
      <c r="E360" s="706"/>
      <c r="F360" s="707"/>
    </row>
    <row r="361" spans="1:6" x14ac:dyDescent="0.3">
      <c r="A361" s="129"/>
      <c r="C361" s="706"/>
      <c r="D361" s="707"/>
      <c r="E361" s="706"/>
      <c r="F361" s="707"/>
    </row>
    <row r="362" spans="1:6" x14ac:dyDescent="0.3">
      <c r="A362" s="129"/>
      <c r="C362" s="706"/>
      <c r="D362" s="707"/>
      <c r="E362" s="706"/>
      <c r="F362" s="707"/>
    </row>
    <row r="363" spans="1:6" x14ac:dyDescent="0.3">
      <c r="A363" s="129"/>
      <c r="C363" s="134"/>
      <c r="D363" s="134"/>
      <c r="E363" s="134"/>
      <c r="F363" s="134"/>
    </row>
    <row r="364" spans="1:6" ht="15.6" x14ac:dyDescent="0.3">
      <c r="A364" s="129"/>
      <c r="D364" s="130"/>
    </row>
    <row r="365" spans="1:6" ht="24" customHeight="1" x14ac:dyDescent="0.3">
      <c r="A365" s="129"/>
      <c r="C365" s="131" t="s">
        <v>637</v>
      </c>
      <c r="D365" s="132">
        <f>__s31</f>
        <v>0</v>
      </c>
      <c r="E365" s="133"/>
      <c r="F365" s="133"/>
    </row>
    <row r="366" spans="1:6" x14ac:dyDescent="0.3">
      <c r="A366" s="129"/>
    </row>
    <row r="367" spans="1:6" x14ac:dyDescent="0.3">
      <c r="A367" s="129"/>
      <c r="C367" s="134"/>
      <c r="D367" s="134" t="str">
        <f ca="1">' '!$A$168</f>
        <v>Description/Remarques</v>
      </c>
      <c r="E367" s="134"/>
      <c r="F367" s="134"/>
    </row>
    <row r="368" spans="1:6" x14ac:dyDescent="0.3">
      <c r="A368" s="129"/>
      <c r="C368" s="705"/>
      <c r="D368" s="705"/>
      <c r="E368" s="705"/>
      <c r="F368" s="705"/>
    </row>
    <row r="369" spans="1:6" x14ac:dyDescent="0.3">
      <c r="A369" s="129"/>
      <c r="C369" s="134"/>
      <c r="D369" s="134" t="str">
        <f ca="1">' '!$A$167</f>
        <v>Calcul</v>
      </c>
      <c r="E369" s="134"/>
      <c r="F369" s="134"/>
    </row>
    <row r="370" spans="1:6" x14ac:dyDescent="0.3">
      <c r="A370" s="129"/>
      <c r="C370" s="705"/>
      <c r="D370" s="705"/>
      <c r="E370" s="705" t="s">
        <v>375</v>
      </c>
      <c r="F370" s="705"/>
    </row>
    <row r="371" spans="1:6" x14ac:dyDescent="0.3">
      <c r="A371" s="129"/>
      <c r="C371" s="134"/>
      <c r="D371" s="135" t="str">
        <f ca="1">' '!$A$169</f>
        <v>Source</v>
      </c>
      <c r="E371" s="134" t="str">
        <f ca="1">' '!$A$170</f>
        <v>Moment de l'enquête &amp; Comparaison avec la branche</v>
      </c>
      <c r="F371" s="134"/>
    </row>
    <row r="372" spans="1:6" x14ac:dyDescent="0.3">
      <c r="A372" s="129"/>
      <c r="C372" s="706"/>
      <c r="D372" s="707"/>
      <c r="E372" s="706"/>
      <c r="F372" s="707"/>
    </row>
    <row r="373" spans="1:6" x14ac:dyDescent="0.3">
      <c r="A373" s="129"/>
      <c r="C373" s="706"/>
      <c r="D373" s="707"/>
      <c r="E373" s="706"/>
      <c r="F373" s="707"/>
    </row>
    <row r="374" spans="1:6" x14ac:dyDescent="0.3">
      <c r="A374" s="129"/>
      <c r="C374" s="706"/>
      <c r="D374" s="707"/>
      <c r="E374" s="706"/>
      <c r="F374" s="707"/>
    </row>
    <row r="375" spans="1:6" x14ac:dyDescent="0.3">
      <c r="A375" s="129"/>
      <c r="C375" s="134"/>
      <c r="D375" s="134"/>
      <c r="E375" s="134"/>
      <c r="F375" s="134"/>
    </row>
    <row r="376" spans="1:6" ht="15.6" x14ac:dyDescent="0.3">
      <c r="A376" s="129"/>
      <c r="D376" s="130"/>
    </row>
    <row r="377" spans="1:6" ht="24" customHeight="1" x14ac:dyDescent="0.3">
      <c r="A377" s="129"/>
      <c r="C377" s="131" t="s">
        <v>638</v>
      </c>
      <c r="D377" s="132">
        <f>__s32</f>
        <v>0</v>
      </c>
      <c r="E377" s="133"/>
      <c r="F377" s="133"/>
    </row>
    <row r="378" spans="1:6" x14ac:dyDescent="0.3">
      <c r="A378" s="129"/>
    </row>
    <row r="379" spans="1:6" x14ac:dyDescent="0.3">
      <c r="A379" s="129"/>
      <c r="C379" s="134"/>
      <c r="D379" s="134" t="str">
        <f ca="1">' '!$A$168</f>
        <v>Description/Remarques</v>
      </c>
      <c r="E379" s="134"/>
      <c r="F379" s="134"/>
    </row>
    <row r="380" spans="1:6" x14ac:dyDescent="0.3">
      <c r="A380" s="129"/>
      <c r="C380" s="705"/>
      <c r="D380" s="705"/>
      <c r="E380" s="705"/>
      <c r="F380" s="705"/>
    </row>
    <row r="381" spans="1:6" x14ac:dyDescent="0.3">
      <c r="A381" s="129"/>
      <c r="C381" s="134"/>
      <c r="D381" s="134" t="str">
        <f ca="1">' '!$A$167</f>
        <v>Calcul</v>
      </c>
      <c r="E381" s="134"/>
      <c r="F381" s="134"/>
    </row>
    <row r="382" spans="1:6" x14ac:dyDescent="0.3">
      <c r="A382" s="129"/>
      <c r="C382" s="705"/>
      <c r="D382" s="705"/>
      <c r="E382" s="705" t="s">
        <v>375</v>
      </c>
      <c r="F382" s="705"/>
    </row>
    <row r="383" spans="1:6" x14ac:dyDescent="0.3">
      <c r="A383" s="129"/>
      <c r="C383" s="134"/>
      <c r="D383" s="135" t="str">
        <f ca="1">' '!$A$169</f>
        <v>Source</v>
      </c>
      <c r="E383" s="134" t="str">
        <f ca="1">' '!$A$170</f>
        <v>Moment de l'enquête &amp; Comparaison avec la branche</v>
      </c>
      <c r="F383" s="134"/>
    </row>
    <row r="384" spans="1:6" x14ac:dyDescent="0.3">
      <c r="A384" s="129"/>
      <c r="C384" s="706"/>
      <c r="D384" s="707"/>
      <c r="E384" s="706"/>
      <c r="F384" s="707"/>
    </row>
    <row r="385" spans="1:6" x14ac:dyDescent="0.3">
      <c r="A385" s="129"/>
      <c r="C385" s="706"/>
      <c r="D385" s="707"/>
      <c r="E385" s="706"/>
      <c r="F385" s="707"/>
    </row>
    <row r="386" spans="1:6" x14ac:dyDescent="0.3">
      <c r="A386" s="129"/>
      <c r="C386" s="706"/>
      <c r="D386" s="707"/>
      <c r="E386" s="706"/>
      <c r="F386" s="707"/>
    </row>
    <row r="387" spans="1:6" x14ac:dyDescent="0.3">
      <c r="A387" s="129"/>
      <c r="C387" s="134"/>
      <c r="D387" s="134"/>
      <c r="E387" s="134"/>
      <c r="F387" s="134"/>
    </row>
    <row r="388" spans="1:6" ht="15.6" x14ac:dyDescent="0.3">
      <c r="A388" s="129"/>
      <c r="D388" s="130"/>
    </row>
    <row r="389" spans="1:6" ht="24" customHeight="1" x14ac:dyDescent="0.3">
      <c r="A389" s="129"/>
      <c r="C389" s="131" t="s">
        <v>639</v>
      </c>
      <c r="D389" s="132">
        <f>__s33</f>
        <v>0</v>
      </c>
      <c r="E389" s="133"/>
      <c r="F389" s="133"/>
    </row>
    <row r="390" spans="1:6" x14ac:dyDescent="0.3">
      <c r="A390" s="129"/>
    </row>
    <row r="391" spans="1:6" x14ac:dyDescent="0.3">
      <c r="A391" s="129"/>
      <c r="C391" s="134"/>
      <c r="D391" s="134" t="str">
        <f ca="1">' '!$A$168</f>
        <v>Description/Remarques</v>
      </c>
      <c r="E391" s="134"/>
      <c r="F391" s="134"/>
    </row>
    <row r="392" spans="1:6" x14ac:dyDescent="0.3">
      <c r="A392" s="129"/>
      <c r="C392" s="705"/>
      <c r="D392" s="705"/>
      <c r="E392" s="705"/>
      <c r="F392" s="705"/>
    </row>
    <row r="393" spans="1:6" x14ac:dyDescent="0.3">
      <c r="A393" s="129"/>
      <c r="C393" s="134"/>
      <c r="D393" s="134" t="str">
        <f ca="1">' '!$A$167</f>
        <v>Calcul</v>
      </c>
      <c r="E393" s="134"/>
      <c r="F393" s="134"/>
    </row>
    <row r="394" spans="1:6" x14ac:dyDescent="0.3">
      <c r="A394" s="129"/>
      <c r="C394" s="705"/>
      <c r="D394" s="705"/>
      <c r="E394" s="705" t="s">
        <v>375</v>
      </c>
      <c r="F394" s="705"/>
    </row>
    <row r="395" spans="1:6" x14ac:dyDescent="0.3">
      <c r="A395" s="129"/>
      <c r="C395" s="134"/>
      <c r="D395" s="135" t="str">
        <f ca="1">' '!$A$169</f>
        <v>Source</v>
      </c>
      <c r="E395" s="134" t="str">
        <f ca="1">' '!$A$170</f>
        <v>Moment de l'enquête &amp; Comparaison avec la branche</v>
      </c>
      <c r="F395" s="134"/>
    </row>
    <row r="396" spans="1:6" x14ac:dyDescent="0.3">
      <c r="A396" s="129"/>
      <c r="C396" s="706"/>
      <c r="D396" s="707"/>
      <c r="E396" s="706"/>
      <c r="F396" s="707"/>
    </row>
    <row r="397" spans="1:6" x14ac:dyDescent="0.3">
      <c r="A397" s="129"/>
      <c r="C397" s="706"/>
      <c r="D397" s="707"/>
      <c r="E397" s="706"/>
      <c r="F397" s="707"/>
    </row>
    <row r="398" spans="1:6" x14ac:dyDescent="0.3">
      <c r="A398" s="129"/>
      <c r="C398" s="706"/>
      <c r="D398" s="707"/>
      <c r="E398" s="706"/>
      <c r="F398" s="707"/>
    </row>
    <row r="399" spans="1:6" x14ac:dyDescent="0.3">
      <c r="A399" s="129"/>
      <c r="C399" s="134"/>
      <c r="D399" s="134"/>
      <c r="E399" s="134"/>
      <c r="F399" s="134"/>
    </row>
    <row r="400" spans="1:6" ht="15.6" x14ac:dyDescent="0.3">
      <c r="A400" s="129"/>
      <c r="D400" s="130"/>
    </row>
    <row r="401" spans="1:6" ht="24" customHeight="1" x14ac:dyDescent="0.3">
      <c r="A401" s="129"/>
      <c r="C401" s="131" t="s">
        <v>640</v>
      </c>
      <c r="D401" s="132">
        <f>__s34</f>
        <v>0</v>
      </c>
      <c r="E401" s="133"/>
      <c r="F401" s="133"/>
    </row>
    <row r="402" spans="1:6" x14ac:dyDescent="0.3">
      <c r="A402" s="129"/>
    </row>
    <row r="403" spans="1:6" x14ac:dyDescent="0.3">
      <c r="A403" s="129"/>
      <c r="C403" s="134"/>
      <c r="D403" s="134" t="str">
        <f ca="1">' '!$A$168</f>
        <v>Description/Remarques</v>
      </c>
      <c r="E403" s="134"/>
      <c r="F403" s="134"/>
    </row>
    <row r="404" spans="1:6" x14ac:dyDescent="0.3">
      <c r="A404" s="129"/>
      <c r="C404" s="705"/>
      <c r="D404" s="705"/>
      <c r="E404" s="705"/>
      <c r="F404" s="705"/>
    </row>
    <row r="405" spans="1:6" x14ac:dyDescent="0.3">
      <c r="A405" s="129"/>
      <c r="C405" s="134"/>
      <c r="D405" s="134" t="str">
        <f ca="1">' '!$A$167</f>
        <v>Calcul</v>
      </c>
      <c r="E405" s="134"/>
      <c r="F405" s="134"/>
    </row>
    <row r="406" spans="1:6" x14ac:dyDescent="0.3">
      <c r="A406" s="129"/>
      <c r="C406" s="705"/>
      <c r="D406" s="705"/>
      <c r="E406" s="705" t="s">
        <v>375</v>
      </c>
      <c r="F406" s="705"/>
    </row>
    <row r="407" spans="1:6" x14ac:dyDescent="0.3">
      <c r="A407" s="129"/>
      <c r="C407" s="134"/>
      <c r="D407" s="135" t="str">
        <f ca="1">' '!$A$169</f>
        <v>Source</v>
      </c>
      <c r="E407" s="134" t="str">
        <f ca="1">' '!$A$170</f>
        <v>Moment de l'enquête &amp; Comparaison avec la branche</v>
      </c>
      <c r="F407" s="134"/>
    </row>
    <row r="408" spans="1:6" x14ac:dyDescent="0.3">
      <c r="A408" s="129"/>
      <c r="C408" s="706"/>
      <c r="D408" s="707"/>
      <c r="E408" s="706"/>
      <c r="F408" s="707"/>
    </row>
    <row r="409" spans="1:6" x14ac:dyDescent="0.3">
      <c r="A409" s="129"/>
      <c r="C409" s="706"/>
      <c r="D409" s="707"/>
      <c r="E409" s="706"/>
      <c r="F409" s="707"/>
    </row>
    <row r="410" spans="1:6" x14ac:dyDescent="0.3">
      <c r="A410" s="129"/>
      <c r="C410" s="706"/>
      <c r="D410" s="707"/>
      <c r="E410" s="706"/>
      <c r="F410" s="707"/>
    </row>
    <row r="411" spans="1:6" x14ac:dyDescent="0.3">
      <c r="A411" s="129"/>
      <c r="C411" s="134"/>
      <c r="D411" s="134"/>
      <c r="E411" s="134"/>
      <c r="F411" s="134"/>
    </row>
    <row r="412" spans="1:6" ht="15.6" x14ac:dyDescent="0.3">
      <c r="A412" s="129"/>
      <c r="D412" s="130"/>
    </row>
    <row r="413" spans="1:6" ht="24" customHeight="1" x14ac:dyDescent="0.3">
      <c r="A413" s="129"/>
      <c r="C413" s="131" t="s">
        <v>641</v>
      </c>
      <c r="D413" s="132">
        <f>__s35</f>
        <v>0</v>
      </c>
      <c r="E413" s="133"/>
      <c r="F413" s="133"/>
    </row>
    <row r="414" spans="1:6" x14ac:dyDescent="0.3">
      <c r="A414" s="129"/>
    </row>
    <row r="415" spans="1:6" x14ac:dyDescent="0.3">
      <c r="A415" s="129"/>
      <c r="C415" s="134"/>
      <c r="D415" s="134" t="str">
        <f ca="1">' '!$A$168</f>
        <v>Description/Remarques</v>
      </c>
      <c r="E415" s="134"/>
      <c r="F415" s="134"/>
    </row>
    <row r="416" spans="1:6" x14ac:dyDescent="0.3">
      <c r="A416" s="129"/>
      <c r="C416" s="705"/>
      <c r="D416" s="705"/>
      <c r="E416" s="705"/>
      <c r="F416" s="705"/>
    </row>
    <row r="417" spans="1:6" x14ac:dyDescent="0.3">
      <c r="A417" s="129"/>
      <c r="C417" s="134"/>
      <c r="D417" s="134" t="str">
        <f ca="1">' '!$A$167</f>
        <v>Calcul</v>
      </c>
      <c r="E417" s="134"/>
      <c r="F417" s="134"/>
    </row>
    <row r="418" spans="1:6" x14ac:dyDescent="0.3">
      <c r="A418" s="129"/>
      <c r="C418" s="705"/>
      <c r="D418" s="705"/>
      <c r="E418" s="705" t="s">
        <v>375</v>
      </c>
      <c r="F418" s="705"/>
    </row>
    <row r="419" spans="1:6" x14ac:dyDescent="0.3">
      <c r="A419" s="129"/>
      <c r="C419" s="134"/>
      <c r="D419" s="135" t="str">
        <f ca="1">' '!$A$169</f>
        <v>Source</v>
      </c>
      <c r="E419" s="134" t="str">
        <f ca="1">' '!$A$170</f>
        <v>Moment de l'enquête &amp; Comparaison avec la branche</v>
      </c>
      <c r="F419" s="134"/>
    </row>
    <row r="420" spans="1:6" x14ac:dyDescent="0.3">
      <c r="A420" s="129"/>
      <c r="C420" s="706"/>
      <c r="D420" s="707"/>
      <c r="E420" s="706"/>
      <c r="F420" s="707"/>
    </row>
    <row r="421" spans="1:6" x14ac:dyDescent="0.3">
      <c r="A421" s="129"/>
      <c r="C421" s="706"/>
      <c r="D421" s="707"/>
      <c r="E421" s="706"/>
      <c r="F421" s="707"/>
    </row>
    <row r="422" spans="1:6" x14ac:dyDescent="0.3">
      <c r="A422" s="129"/>
      <c r="C422" s="706"/>
      <c r="D422" s="707"/>
      <c r="E422" s="706"/>
      <c r="F422" s="707"/>
    </row>
    <row r="423" spans="1:6" x14ac:dyDescent="0.3">
      <c r="A423" s="129"/>
      <c r="C423" s="134"/>
      <c r="D423" s="134"/>
      <c r="E423" s="134"/>
      <c r="F423" s="134"/>
    </row>
    <row r="424" spans="1:6" ht="15.6" x14ac:dyDescent="0.3">
      <c r="A424" s="129"/>
      <c r="D424" s="130"/>
    </row>
    <row r="425" spans="1:6" ht="24" customHeight="1" x14ac:dyDescent="0.3">
      <c r="A425" s="129"/>
      <c r="C425" s="131" t="s">
        <v>642</v>
      </c>
      <c r="D425" s="132">
        <f>__s36</f>
        <v>0</v>
      </c>
      <c r="E425" s="133"/>
      <c r="F425" s="133"/>
    </row>
    <row r="426" spans="1:6" x14ac:dyDescent="0.3">
      <c r="A426" s="129"/>
    </row>
    <row r="427" spans="1:6" x14ac:dyDescent="0.3">
      <c r="A427" s="129"/>
      <c r="C427" s="134"/>
      <c r="D427" s="134" t="str">
        <f ca="1">' '!$A$168</f>
        <v>Description/Remarques</v>
      </c>
      <c r="E427" s="134"/>
      <c r="F427" s="134"/>
    </row>
    <row r="428" spans="1:6" x14ac:dyDescent="0.3">
      <c r="A428" s="129"/>
      <c r="C428" s="705"/>
      <c r="D428" s="705"/>
      <c r="E428" s="705"/>
      <c r="F428" s="705"/>
    </row>
    <row r="429" spans="1:6" x14ac:dyDescent="0.3">
      <c r="A429" s="129"/>
      <c r="C429" s="134"/>
      <c r="D429" s="134" t="str">
        <f ca="1">' '!$A$167</f>
        <v>Calcul</v>
      </c>
      <c r="E429" s="134"/>
      <c r="F429" s="134"/>
    </row>
    <row r="430" spans="1:6" x14ac:dyDescent="0.3">
      <c r="A430" s="129"/>
      <c r="C430" s="705"/>
      <c r="D430" s="705"/>
      <c r="E430" s="705" t="s">
        <v>375</v>
      </c>
      <c r="F430" s="705"/>
    </row>
    <row r="431" spans="1:6" x14ac:dyDescent="0.3">
      <c r="A431" s="129"/>
      <c r="C431" s="134"/>
      <c r="D431" s="135" t="str">
        <f ca="1">' '!$A$169</f>
        <v>Source</v>
      </c>
      <c r="E431" s="134" t="str">
        <f ca="1">' '!$A$170</f>
        <v>Moment de l'enquête &amp; Comparaison avec la branche</v>
      </c>
      <c r="F431" s="134"/>
    </row>
    <row r="432" spans="1:6" x14ac:dyDescent="0.3">
      <c r="A432" s="129"/>
      <c r="C432" s="706"/>
      <c r="D432" s="707"/>
      <c r="E432" s="706"/>
      <c r="F432" s="707"/>
    </row>
    <row r="433" spans="1:6" x14ac:dyDescent="0.3">
      <c r="A433" s="129"/>
      <c r="C433" s="706"/>
      <c r="D433" s="707"/>
      <c r="E433" s="706"/>
      <c r="F433" s="707"/>
    </row>
    <row r="434" spans="1:6" x14ac:dyDescent="0.3">
      <c r="A434" s="129"/>
      <c r="C434" s="706"/>
      <c r="D434" s="707"/>
      <c r="E434" s="706"/>
      <c r="F434" s="707"/>
    </row>
    <row r="435" spans="1:6" x14ac:dyDescent="0.3">
      <c r="A435" s="129"/>
      <c r="C435" s="134"/>
      <c r="D435" s="134"/>
      <c r="E435" s="134"/>
      <c r="F435" s="134"/>
    </row>
    <row r="436" spans="1:6" ht="15.6" x14ac:dyDescent="0.3">
      <c r="A436" s="129"/>
      <c r="D436" s="130"/>
    </row>
    <row r="437" spans="1:6" ht="24" customHeight="1" x14ac:dyDescent="0.3">
      <c r="A437" s="129"/>
      <c r="C437" s="131" t="s">
        <v>643</v>
      </c>
      <c r="D437" s="132">
        <f>__s37</f>
        <v>0</v>
      </c>
      <c r="E437" s="133"/>
      <c r="F437" s="133"/>
    </row>
    <row r="438" spans="1:6" x14ac:dyDescent="0.3">
      <c r="A438" s="129"/>
    </row>
    <row r="439" spans="1:6" x14ac:dyDescent="0.3">
      <c r="A439" s="129"/>
      <c r="C439" s="134"/>
      <c r="D439" s="134" t="str">
        <f ca="1">' '!$A$168</f>
        <v>Description/Remarques</v>
      </c>
      <c r="E439" s="134"/>
      <c r="F439" s="134"/>
    </row>
    <row r="440" spans="1:6" x14ac:dyDescent="0.3">
      <c r="A440" s="129"/>
      <c r="C440" s="705"/>
      <c r="D440" s="705"/>
      <c r="E440" s="705"/>
      <c r="F440" s="705"/>
    </row>
    <row r="441" spans="1:6" x14ac:dyDescent="0.3">
      <c r="A441" s="129"/>
      <c r="C441" s="134"/>
      <c r="D441" s="134" t="str">
        <f ca="1">' '!$A$167</f>
        <v>Calcul</v>
      </c>
      <c r="E441" s="134"/>
      <c r="F441" s="134"/>
    </row>
    <row r="442" spans="1:6" x14ac:dyDescent="0.3">
      <c r="A442" s="129"/>
      <c r="C442" s="705"/>
      <c r="D442" s="705"/>
      <c r="E442" s="705" t="s">
        <v>375</v>
      </c>
      <c r="F442" s="705"/>
    </row>
    <row r="443" spans="1:6" x14ac:dyDescent="0.3">
      <c r="A443" s="129"/>
      <c r="C443" s="134"/>
      <c r="D443" s="135" t="str">
        <f ca="1">' '!$A$169</f>
        <v>Source</v>
      </c>
      <c r="E443" s="134" t="str">
        <f ca="1">' '!$A$170</f>
        <v>Moment de l'enquête &amp; Comparaison avec la branche</v>
      </c>
      <c r="F443" s="134"/>
    </row>
    <row r="444" spans="1:6" x14ac:dyDescent="0.3">
      <c r="A444" s="129"/>
      <c r="C444" s="706"/>
      <c r="D444" s="707"/>
      <c r="E444" s="706"/>
      <c r="F444" s="707"/>
    </row>
    <row r="445" spans="1:6" x14ac:dyDescent="0.3">
      <c r="A445" s="129"/>
      <c r="C445" s="706"/>
      <c r="D445" s="707"/>
      <c r="E445" s="706"/>
      <c r="F445" s="707"/>
    </row>
    <row r="446" spans="1:6" x14ac:dyDescent="0.3">
      <c r="A446" s="129"/>
      <c r="C446" s="706"/>
      <c r="D446" s="707"/>
      <c r="E446" s="706"/>
      <c r="F446" s="707"/>
    </row>
    <row r="447" spans="1:6" x14ac:dyDescent="0.3">
      <c r="A447" s="129"/>
      <c r="C447" s="134"/>
      <c r="D447" s="134"/>
      <c r="E447" s="134"/>
      <c r="F447" s="134"/>
    </row>
    <row r="448" spans="1:6" ht="15.6" x14ac:dyDescent="0.3">
      <c r="A448" s="129"/>
      <c r="D448" s="130"/>
    </row>
    <row r="449" spans="1:6" ht="24" customHeight="1" x14ac:dyDescent="0.3">
      <c r="A449" s="129"/>
      <c r="C449" s="131" t="s">
        <v>644</v>
      </c>
      <c r="D449" s="132">
        <f>__s38</f>
        <v>0</v>
      </c>
      <c r="E449" s="133"/>
      <c r="F449" s="133"/>
    </row>
    <row r="450" spans="1:6" x14ac:dyDescent="0.3">
      <c r="A450" s="129"/>
    </row>
    <row r="451" spans="1:6" x14ac:dyDescent="0.3">
      <c r="A451" s="129"/>
      <c r="C451" s="134"/>
      <c r="D451" s="134" t="str">
        <f ca="1">' '!$A$168</f>
        <v>Description/Remarques</v>
      </c>
      <c r="E451" s="134"/>
      <c r="F451" s="134"/>
    </row>
    <row r="452" spans="1:6" x14ac:dyDescent="0.3">
      <c r="A452" s="129"/>
      <c r="C452" s="705"/>
      <c r="D452" s="705"/>
      <c r="E452" s="705"/>
      <c r="F452" s="705"/>
    </row>
    <row r="453" spans="1:6" x14ac:dyDescent="0.3">
      <c r="A453" s="129"/>
      <c r="C453" s="134"/>
      <c r="D453" s="134" t="str">
        <f ca="1">' '!$A$167</f>
        <v>Calcul</v>
      </c>
      <c r="E453" s="134"/>
      <c r="F453" s="134"/>
    </row>
    <row r="454" spans="1:6" x14ac:dyDescent="0.3">
      <c r="A454" s="129"/>
      <c r="C454" s="705"/>
      <c r="D454" s="705"/>
      <c r="E454" s="705" t="s">
        <v>375</v>
      </c>
      <c r="F454" s="705"/>
    </row>
    <row r="455" spans="1:6" x14ac:dyDescent="0.3">
      <c r="A455" s="129"/>
      <c r="C455" s="134"/>
      <c r="D455" s="135" t="str">
        <f ca="1">' '!$A$169</f>
        <v>Source</v>
      </c>
      <c r="E455" s="134" t="str">
        <f ca="1">' '!$A$170</f>
        <v>Moment de l'enquête &amp; Comparaison avec la branche</v>
      </c>
      <c r="F455" s="134"/>
    </row>
    <row r="456" spans="1:6" x14ac:dyDescent="0.3">
      <c r="A456" s="129"/>
      <c r="C456" s="706"/>
      <c r="D456" s="707"/>
      <c r="E456" s="706"/>
      <c r="F456" s="707"/>
    </row>
    <row r="457" spans="1:6" x14ac:dyDescent="0.3">
      <c r="A457" s="129"/>
      <c r="C457" s="706"/>
      <c r="D457" s="707"/>
      <c r="E457" s="706"/>
      <c r="F457" s="707"/>
    </row>
    <row r="458" spans="1:6" x14ac:dyDescent="0.3">
      <c r="A458" s="129"/>
      <c r="C458" s="706"/>
      <c r="D458" s="707"/>
      <c r="E458" s="706"/>
      <c r="F458" s="707"/>
    </row>
    <row r="459" spans="1:6" x14ac:dyDescent="0.3">
      <c r="A459" s="129"/>
      <c r="C459" s="134"/>
      <c r="D459" s="134"/>
      <c r="E459" s="134"/>
      <c r="F459" s="134"/>
    </row>
    <row r="460" spans="1:6" ht="15.6" x14ac:dyDescent="0.3">
      <c r="A460" s="129"/>
      <c r="D460" s="130"/>
    </row>
    <row r="461" spans="1:6" ht="24" customHeight="1" x14ac:dyDescent="0.3">
      <c r="A461" s="129"/>
      <c r="C461" s="131" t="s">
        <v>645</v>
      </c>
      <c r="D461" s="132">
        <f>__s39</f>
        <v>0</v>
      </c>
      <c r="E461" s="133"/>
      <c r="F461" s="133"/>
    </row>
    <row r="462" spans="1:6" x14ac:dyDescent="0.3">
      <c r="A462" s="129"/>
    </row>
    <row r="463" spans="1:6" x14ac:dyDescent="0.3">
      <c r="A463" s="129"/>
      <c r="C463" s="134"/>
      <c r="D463" s="134" t="str">
        <f ca="1">' '!$A$168</f>
        <v>Description/Remarques</v>
      </c>
      <c r="E463" s="134"/>
      <c r="F463" s="134"/>
    </row>
    <row r="464" spans="1:6" x14ac:dyDescent="0.3">
      <c r="A464" s="129"/>
      <c r="C464" s="705"/>
      <c r="D464" s="705"/>
      <c r="E464" s="705"/>
      <c r="F464" s="705"/>
    </row>
    <row r="465" spans="1:6" x14ac:dyDescent="0.3">
      <c r="A465" s="129"/>
      <c r="C465" s="134"/>
      <c r="D465" s="134" t="str">
        <f ca="1">' '!$A$167</f>
        <v>Calcul</v>
      </c>
      <c r="E465" s="134"/>
      <c r="F465" s="134"/>
    </row>
    <row r="466" spans="1:6" x14ac:dyDescent="0.3">
      <c r="A466" s="129"/>
      <c r="C466" s="705"/>
      <c r="D466" s="705"/>
      <c r="E466" s="705" t="s">
        <v>375</v>
      </c>
      <c r="F466" s="705"/>
    </row>
    <row r="467" spans="1:6" x14ac:dyDescent="0.3">
      <c r="A467" s="129"/>
      <c r="C467" s="134"/>
      <c r="D467" s="135" t="str">
        <f ca="1">' '!$A$169</f>
        <v>Source</v>
      </c>
      <c r="E467" s="134" t="str">
        <f ca="1">' '!$A$170</f>
        <v>Moment de l'enquête &amp; Comparaison avec la branche</v>
      </c>
      <c r="F467" s="134"/>
    </row>
    <row r="468" spans="1:6" x14ac:dyDescent="0.3">
      <c r="A468" s="129"/>
      <c r="C468" s="706"/>
      <c r="D468" s="707"/>
      <c r="E468" s="706"/>
      <c r="F468" s="707"/>
    </row>
    <row r="469" spans="1:6" x14ac:dyDescent="0.3">
      <c r="A469" s="129"/>
      <c r="C469" s="706"/>
      <c r="D469" s="707"/>
      <c r="E469" s="706"/>
      <c r="F469" s="707"/>
    </row>
    <row r="470" spans="1:6" x14ac:dyDescent="0.3">
      <c r="A470" s="129"/>
      <c r="C470" s="706"/>
      <c r="D470" s="707"/>
      <c r="E470" s="706"/>
      <c r="F470" s="707"/>
    </row>
    <row r="471" spans="1:6" x14ac:dyDescent="0.3">
      <c r="A471" s="129"/>
      <c r="C471" s="134"/>
      <c r="D471" s="134"/>
      <c r="E471" s="134"/>
      <c r="F471" s="134"/>
    </row>
    <row r="472" spans="1:6" ht="15.6" x14ac:dyDescent="0.3">
      <c r="A472" s="129"/>
      <c r="D472" s="130"/>
    </row>
    <row r="473" spans="1:6" ht="24" customHeight="1" x14ac:dyDescent="0.3">
      <c r="A473" s="129"/>
      <c r="C473" s="131" t="s">
        <v>646</v>
      </c>
      <c r="D473" s="132">
        <f>__s40</f>
        <v>0</v>
      </c>
      <c r="E473" s="133"/>
      <c r="F473" s="133"/>
    </row>
    <row r="474" spans="1:6" x14ac:dyDescent="0.3">
      <c r="A474" s="129"/>
    </row>
    <row r="475" spans="1:6" x14ac:dyDescent="0.3">
      <c r="A475" s="129"/>
      <c r="C475" s="134"/>
      <c r="D475" s="134" t="str">
        <f ca="1">' '!$A$168</f>
        <v>Description/Remarques</v>
      </c>
      <c r="E475" s="134"/>
      <c r="F475" s="134"/>
    </row>
    <row r="476" spans="1:6" x14ac:dyDescent="0.3">
      <c r="A476" s="129"/>
      <c r="C476" s="705"/>
      <c r="D476" s="705"/>
      <c r="E476" s="705"/>
      <c r="F476" s="705"/>
    </row>
    <row r="477" spans="1:6" x14ac:dyDescent="0.3">
      <c r="A477" s="129"/>
      <c r="C477" s="134"/>
      <c r="D477" s="134" t="str">
        <f ca="1">' '!$A$167</f>
        <v>Calcul</v>
      </c>
      <c r="E477" s="134"/>
      <c r="F477" s="134"/>
    </row>
    <row r="478" spans="1:6" x14ac:dyDescent="0.3">
      <c r="A478" s="129"/>
      <c r="C478" s="705"/>
      <c r="D478" s="705"/>
      <c r="E478" s="705" t="s">
        <v>375</v>
      </c>
      <c r="F478" s="705"/>
    </row>
    <row r="479" spans="1:6" x14ac:dyDescent="0.3">
      <c r="A479" s="129"/>
      <c r="C479" s="134"/>
      <c r="D479" s="135" t="str">
        <f ca="1">' '!$A$169</f>
        <v>Source</v>
      </c>
      <c r="E479" s="134" t="str">
        <f ca="1">' '!$A$170</f>
        <v>Moment de l'enquête &amp; Comparaison avec la branche</v>
      </c>
      <c r="F479" s="134"/>
    </row>
    <row r="480" spans="1:6" x14ac:dyDescent="0.3">
      <c r="A480" s="129"/>
      <c r="C480" s="706"/>
      <c r="D480" s="707"/>
      <c r="E480" s="706"/>
      <c r="F480" s="707"/>
    </row>
    <row r="481" spans="1:6" x14ac:dyDescent="0.3">
      <c r="A481" s="129"/>
      <c r="C481" s="706"/>
      <c r="D481" s="707"/>
      <c r="E481" s="706"/>
      <c r="F481" s="707"/>
    </row>
    <row r="482" spans="1:6" x14ac:dyDescent="0.3">
      <c r="A482" s="129"/>
      <c r="C482" s="706"/>
      <c r="D482" s="707"/>
      <c r="E482" s="706"/>
      <c r="F482" s="707"/>
    </row>
    <row r="483" spans="1:6" x14ac:dyDescent="0.3">
      <c r="A483" s="129"/>
      <c r="C483" s="134"/>
      <c r="D483" s="134"/>
      <c r="E483" s="134"/>
      <c r="F483" s="134"/>
    </row>
    <row r="484" spans="1:6" x14ac:dyDescent="0.3">
      <c r="C484" s="155" t="s">
        <v>603</v>
      </c>
      <c r="D484"/>
    </row>
  </sheetData>
  <sheetProtection sheet="1" objects="1" scenarios="1" formatCells="0" formatColumns="0" formatRows="0" insertHyperlinks="0" selectLockedCells="1" sort="0" autoFilter="0"/>
  <mergeCells count="160">
    <mergeCell ref="C8:F8"/>
    <mergeCell ref="C10:F10"/>
    <mergeCell ref="C12:D14"/>
    <mergeCell ref="E12:F14"/>
    <mergeCell ref="C20:F20"/>
    <mergeCell ref="C22:F22"/>
    <mergeCell ref="C44:F44"/>
    <mergeCell ref="C46:F46"/>
    <mergeCell ref="C48:D50"/>
    <mergeCell ref="E48:F50"/>
    <mergeCell ref="C56:F56"/>
    <mergeCell ref="C58:F58"/>
    <mergeCell ref="C24:D26"/>
    <mergeCell ref="E24:F26"/>
    <mergeCell ref="C32:F32"/>
    <mergeCell ref="C34:F34"/>
    <mergeCell ref="C36:D38"/>
    <mergeCell ref="E36:F38"/>
    <mergeCell ref="C80:F80"/>
    <mergeCell ref="C82:F82"/>
    <mergeCell ref="C84:D86"/>
    <mergeCell ref="E84:F86"/>
    <mergeCell ref="C92:F92"/>
    <mergeCell ref="C94:F94"/>
    <mergeCell ref="C60:D62"/>
    <mergeCell ref="E60:F62"/>
    <mergeCell ref="C68:F68"/>
    <mergeCell ref="C70:F70"/>
    <mergeCell ref="C72:D74"/>
    <mergeCell ref="E72:F74"/>
    <mergeCell ref="C116:F116"/>
    <mergeCell ref="C118:F118"/>
    <mergeCell ref="C120:D122"/>
    <mergeCell ref="E120:F122"/>
    <mergeCell ref="C128:F128"/>
    <mergeCell ref="C130:F130"/>
    <mergeCell ref="C96:D98"/>
    <mergeCell ref="E96:F98"/>
    <mergeCell ref="C104:F104"/>
    <mergeCell ref="C106:F106"/>
    <mergeCell ref="C108:D110"/>
    <mergeCell ref="E108:F110"/>
    <mergeCell ref="C152:F152"/>
    <mergeCell ref="C154:F154"/>
    <mergeCell ref="C156:D158"/>
    <mergeCell ref="E156:F158"/>
    <mergeCell ref="C164:F164"/>
    <mergeCell ref="C166:F166"/>
    <mergeCell ref="C132:D134"/>
    <mergeCell ref="E132:F134"/>
    <mergeCell ref="C140:F140"/>
    <mergeCell ref="C142:F142"/>
    <mergeCell ref="C144:D146"/>
    <mergeCell ref="E144:F146"/>
    <mergeCell ref="C188:F188"/>
    <mergeCell ref="C190:F190"/>
    <mergeCell ref="C192:D194"/>
    <mergeCell ref="E192:F194"/>
    <mergeCell ref="C200:F200"/>
    <mergeCell ref="C202:F202"/>
    <mergeCell ref="C168:D170"/>
    <mergeCell ref="E168:F170"/>
    <mergeCell ref="C176:F176"/>
    <mergeCell ref="C178:F178"/>
    <mergeCell ref="C180:D182"/>
    <mergeCell ref="E180:F182"/>
    <mergeCell ref="C224:F224"/>
    <mergeCell ref="C226:F226"/>
    <mergeCell ref="C228:D230"/>
    <mergeCell ref="E228:F230"/>
    <mergeCell ref="C236:F236"/>
    <mergeCell ref="C238:F238"/>
    <mergeCell ref="C204:D206"/>
    <mergeCell ref="E204:F206"/>
    <mergeCell ref="C212:F212"/>
    <mergeCell ref="C214:F214"/>
    <mergeCell ref="C216:D218"/>
    <mergeCell ref="E216:F218"/>
    <mergeCell ref="C260:F260"/>
    <mergeCell ref="C262:F262"/>
    <mergeCell ref="C264:D266"/>
    <mergeCell ref="E264:F266"/>
    <mergeCell ref="C272:F272"/>
    <mergeCell ref="C274:F274"/>
    <mergeCell ref="C240:D242"/>
    <mergeCell ref="E240:F242"/>
    <mergeCell ref="C248:F248"/>
    <mergeCell ref="C250:F250"/>
    <mergeCell ref="C252:D254"/>
    <mergeCell ref="E252:F254"/>
    <mergeCell ref="C296:F296"/>
    <mergeCell ref="C298:F298"/>
    <mergeCell ref="C300:D302"/>
    <mergeCell ref="E300:F302"/>
    <mergeCell ref="C308:F308"/>
    <mergeCell ref="C310:F310"/>
    <mergeCell ref="C276:D278"/>
    <mergeCell ref="E276:F278"/>
    <mergeCell ref="C284:F284"/>
    <mergeCell ref="C286:F286"/>
    <mergeCell ref="C288:D290"/>
    <mergeCell ref="E288:F290"/>
    <mergeCell ref="C332:F332"/>
    <mergeCell ref="C334:F334"/>
    <mergeCell ref="C336:D338"/>
    <mergeCell ref="E336:F338"/>
    <mergeCell ref="C344:F344"/>
    <mergeCell ref="C346:F346"/>
    <mergeCell ref="C312:D314"/>
    <mergeCell ref="E312:F314"/>
    <mergeCell ref="C320:F320"/>
    <mergeCell ref="C322:F322"/>
    <mergeCell ref="C324:D326"/>
    <mergeCell ref="E324:F326"/>
    <mergeCell ref="C368:F368"/>
    <mergeCell ref="C370:F370"/>
    <mergeCell ref="C372:D374"/>
    <mergeCell ref="E372:F374"/>
    <mergeCell ref="C380:F380"/>
    <mergeCell ref="C382:F382"/>
    <mergeCell ref="C348:D350"/>
    <mergeCell ref="E348:F350"/>
    <mergeCell ref="C356:F356"/>
    <mergeCell ref="C358:F358"/>
    <mergeCell ref="C360:D362"/>
    <mergeCell ref="E360:F362"/>
    <mergeCell ref="C404:F404"/>
    <mergeCell ref="C406:F406"/>
    <mergeCell ref="C408:D410"/>
    <mergeCell ref="E408:F410"/>
    <mergeCell ref="C416:F416"/>
    <mergeCell ref="C418:F418"/>
    <mergeCell ref="C384:D386"/>
    <mergeCell ref="E384:F386"/>
    <mergeCell ref="C392:F392"/>
    <mergeCell ref="C394:F394"/>
    <mergeCell ref="C396:D398"/>
    <mergeCell ref="E396:F398"/>
    <mergeCell ref="C440:F440"/>
    <mergeCell ref="C442:F442"/>
    <mergeCell ref="C444:D446"/>
    <mergeCell ref="E444:F446"/>
    <mergeCell ref="C452:F452"/>
    <mergeCell ref="C454:F454"/>
    <mergeCell ref="C420:D422"/>
    <mergeCell ref="E420:F422"/>
    <mergeCell ref="C428:F428"/>
    <mergeCell ref="C430:F430"/>
    <mergeCell ref="C432:D434"/>
    <mergeCell ref="E432:F434"/>
    <mergeCell ref="C476:F476"/>
    <mergeCell ref="C478:F478"/>
    <mergeCell ref="C480:D482"/>
    <mergeCell ref="E480:F482"/>
    <mergeCell ref="C456:D458"/>
    <mergeCell ref="E456:F458"/>
    <mergeCell ref="C464:F464"/>
    <mergeCell ref="C466:F466"/>
    <mergeCell ref="C468:D470"/>
    <mergeCell ref="E468:F470"/>
  </mergeCells>
  <pageMargins left="0.70866141732283472" right="0.70866141732283472" top="0.78740157480314965" bottom="0.78740157480314965" header="0.31496062992125984" footer="0.31496062992125984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Mitarbeiterkennzahlen2">
    <tabColor theme="4" tint="0.39997558519241921"/>
  </sheetPr>
  <dimension ref="A1:R964"/>
  <sheetViews>
    <sheetView showGridLines="0" zoomScaleNormal="100" workbookViewId="0">
      <pane ySplit="1" topLeftCell="A2" activePane="bottomLeft" state="frozen"/>
      <selection activeCell="T14" sqref="T14"/>
      <selection pane="bottomLeft" activeCell="A2" sqref="A2"/>
    </sheetView>
  </sheetViews>
  <sheetFormatPr baseColWidth="10" defaultColWidth="11.44140625" defaultRowHeight="14.4" x14ac:dyDescent="0.3"/>
  <cols>
    <col min="1" max="1" width="0.109375" style="55" customWidth="1"/>
    <col min="2" max="2" width="6.44140625" style="13" customWidth="1"/>
    <col min="3" max="3" width="4.44140625" style="13" customWidth="1"/>
    <col min="4" max="4" width="49.44140625" style="13" customWidth="1"/>
    <col min="5" max="5" width="51.44140625" style="13" customWidth="1"/>
    <col min="6" max="6" width="4" style="13" customWidth="1"/>
    <col min="7" max="16384" width="11.44140625" style="13"/>
  </cols>
  <sheetData>
    <row r="1" spans="1:18" s="2" customFormat="1" ht="43.95" customHeight="1" x14ac:dyDescent="0.3">
      <c r="A1" s="55"/>
      <c r="C1" s="16" t="str">
        <f ca="1">' '!A166</f>
        <v>I N D I C A T E U R S   S T R A T É G I Q U E</v>
      </c>
      <c r="D1" s="4"/>
      <c r="E1" s="4"/>
      <c r="F1" s="141"/>
      <c r="G1" s="12"/>
      <c r="H1" s="3"/>
      <c r="O1" s="127"/>
      <c r="P1" s="127"/>
      <c r="Q1" s="127"/>
      <c r="R1" s="127"/>
    </row>
    <row r="2" spans="1:18" ht="5.25" customHeight="1" x14ac:dyDescent="0.3">
      <c r="A2" s="18"/>
      <c r="D2" s="48"/>
      <c r="O2" s="127"/>
      <c r="P2" s="127"/>
      <c r="Q2" s="127"/>
      <c r="R2" s="127"/>
    </row>
    <row r="3" spans="1:18" ht="18" customHeight="1" x14ac:dyDescent="0.3">
      <c r="A3" s="128"/>
      <c r="C3" s="81"/>
    </row>
    <row r="4" spans="1:18" ht="4.5" customHeight="1" x14ac:dyDescent="0.3">
      <c r="A4" s="129"/>
      <c r="D4" s="130"/>
    </row>
    <row r="5" spans="1:18" ht="24" customHeight="1" x14ac:dyDescent="0.3">
      <c r="A5" s="129"/>
      <c r="C5" s="136" t="s">
        <v>208</v>
      </c>
      <c r="D5" s="137" t="str">
        <f>_o1</f>
        <v>Mesure 1</v>
      </c>
      <c r="E5" s="138"/>
      <c r="F5" s="138"/>
    </row>
    <row r="6" spans="1:18" ht="4.5" customHeight="1" x14ac:dyDescent="0.3">
      <c r="A6" s="129"/>
    </row>
    <row r="7" spans="1:18" x14ac:dyDescent="0.3">
      <c r="A7" s="129"/>
      <c r="C7" s="139"/>
      <c r="D7" s="139" t="str">
        <f ca="1">' '!$A$168</f>
        <v>Description/Remarques</v>
      </c>
      <c r="E7" s="139"/>
      <c r="F7" s="139"/>
    </row>
    <row r="8" spans="1:18" ht="51" customHeight="1" x14ac:dyDescent="0.3">
      <c r="A8" s="129"/>
      <c r="C8" s="705"/>
      <c r="D8" s="705"/>
      <c r="E8" s="705"/>
      <c r="F8" s="705"/>
    </row>
    <row r="9" spans="1:18" x14ac:dyDescent="0.3">
      <c r="A9" s="129"/>
      <c r="C9" s="139"/>
      <c r="D9" s="139" t="str">
        <f ca="1">' '!$A$167</f>
        <v>Calcul</v>
      </c>
      <c r="E9" s="139"/>
      <c r="F9" s="139"/>
    </row>
    <row r="10" spans="1:18" ht="57.9" customHeight="1" x14ac:dyDescent="0.3">
      <c r="A10" s="129"/>
      <c r="C10" s="705"/>
      <c r="D10" s="705"/>
      <c r="E10" s="705" t="s">
        <v>375</v>
      </c>
      <c r="F10" s="705"/>
    </row>
    <row r="11" spans="1:18" x14ac:dyDescent="0.3">
      <c r="A11" s="129"/>
      <c r="C11" s="139"/>
      <c r="D11" s="140" t="str">
        <f ca="1">' '!$A$169</f>
        <v>Source</v>
      </c>
      <c r="E11" s="139" t="str">
        <f ca="1">' '!$A$170</f>
        <v>Moment de l'enquête &amp; Comparaison avec la branche</v>
      </c>
      <c r="F11" s="139"/>
    </row>
    <row r="12" spans="1:18" x14ac:dyDescent="0.3">
      <c r="A12" s="129"/>
      <c r="C12" s="706"/>
      <c r="D12" s="707"/>
      <c r="E12" s="706"/>
      <c r="F12" s="707"/>
    </row>
    <row r="13" spans="1:18" x14ac:dyDescent="0.3">
      <c r="A13" s="129"/>
      <c r="C13" s="706"/>
      <c r="D13" s="707"/>
      <c r="E13" s="706"/>
      <c r="F13" s="707"/>
    </row>
    <row r="14" spans="1:18" x14ac:dyDescent="0.3">
      <c r="A14" s="129"/>
      <c r="C14" s="706"/>
      <c r="D14" s="707"/>
      <c r="E14" s="706"/>
      <c r="F14" s="707"/>
    </row>
    <row r="15" spans="1:18" ht="5.4" customHeight="1" x14ac:dyDescent="0.3">
      <c r="A15" s="129"/>
      <c r="C15" s="139"/>
      <c r="D15" s="139"/>
      <c r="E15" s="139"/>
      <c r="F15" s="139"/>
    </row>
    <row r="16" spans="1:18" ht="8.4" customHeight="1" x14ac:dyDescent="0.3">
      <c r="A16" s="129"/>
      <c r="D16" s="130"/>
    </row>
    <row r="17" spans="1:6" ht="24" customHeight="1" x14ac:dyDescent="0.3">
      <c r="A17" s="129"/>
      <c r="C17" s="136" t="s">
        <v>209</v>
      </c>
      <c r="D17" s="137">
        <f>_o2</f>
        <v>0</v>
      </c>
      <c r="E17" s="138"/>
      <c r="F17" s="138"/>
    </row>
    <row r="18" spans="1:6" x14ac:dyDescent="0.3">
      <c r="A18" s="129"/>
    </row>
    <row r="19" spans="1:6" x14ac:dyDescent="0.3">
      <c r="A19" s="129"/>
      <c r="C19" s="139"/>
      <c r="D19" s="139" t="str">
        <f ca="1">' '!$A$168</f>
        <v>Description/Remarques</v>
      </c>
      <c r="E19" s="139"/>
      <c r="F19" s="139"/>
    </row>
    <row r="20" spans="1:6" x14ac:dyDescent="0.3">
      <c r="A20" s="129"/>
      <c r="C20" s="705"/>
      <c r="D20" s="705"/>
      <c r="E20" s="705"/>
      <c r="F20" s="705"/>
    </row>
    <row r="21" spans="1:6" x14ac:dyDescent="0.3">
      <c r="A21" s="129"/>
      <c r="C21" s="139"/>
      <c r="D21" s="139" t="str">
        <f ca="1">' '!$A$167</f>
        <v>Calcul</v>
      </c>
      <c r="E21" s="139"/>
      <c r="F21" s="139"/>
    </row>
    <row r="22" spans="1:6" x14ac:dyDescent="0.3">
      <c r="A22" s="129"/>
      <c r="C22" s="705"/>
      <c r="D22" s="705"/>
      <c r="E22" s="705" t="s">
        <v>375</v>
      </c>
      <c r="F22" s="705"/>
    </row>
    <row r="23" spans="1:6" x14ac:dyDescent="0.3">
      <c r="A23" s="129"/>
      <c r="C23" s="139"/>
      <c r="D23" s="140" t="str">
        <f ca="1">' '!$A$169</f>
        <v>Source</v>
      </c>
      <c r="E23" s="139" t="str">
        <f ca="1">' '!$A$170</f>
        <v>Moment de l'enquête &amp; Comparaison avec la branche</v>
      </c>
      <c r="F23" s="139"/>
    </row>
    <row r="24" spans="1:6" x14ac:dyDescent="0.3">
      <c r="A24" s="129"/>
      <c r="C24" s="706"/>
      <c r="D24" s="707"/>
      <c r="E24" s="706"/>
      <c r="F24" s="707"/>
    </row>
    <row r="25" spans="1:6" x14ac:dyDescent="0.3">
      <c r="A25" s="129"/>
      <c r="C25" s="706"/>
      <c r="D25" s="707"/>
      <c r="E25" s="706"/>
      <c r="F25" s="707"/>
    </row>
    <row r="26" spans="1:6" x14ac:dyDescent="0.3">
      <c r="A26" s="129"/>
      <c r="C26" s="706"/>
      <c r="D26" s="707"/>
      <c r="E26" s="706"/>
      <c r="F26" s="707"/>
    </row>
    <row r="27" spans="1:6" x14ac:dyDescent="0.3">
      <c r="A27" s="129"/>
      <c r="C27" s="139"/>
      <c r="D27" s="139"/>
      <c r="E27" s="139"/>
      <c r="F27" s="139"/>
    </row>
    <row r="28" spans="1:6" ht="15.6" x14ac:dyDescent="0.3">
      <c r="A28" s="129"/>
      <c r="D28" s="130"/>
    </row>
    <row r="29" spans="1:6" ht="24" customHeight="1" x14ac:dyDescent="0.3">
      <c r="A29" s="129"/>
      <c r="C29" s="136" t="s">
        <v>210</v>
      </c>
      <c r="D29" s="137">
        <f>_o3</f>
        <v>0</v>
      </c>
      <c r="E29" s="138"/>
      <c r="F29" s="138"/>
    </row>
    <row r="30" spans="1:6" x14ac:dyDescent="0.3">
      <c r="A30" s="129"/>
    </row>
    <row r="31" spans="1:6" x14ac:dyDescent="0.3">
      <c r="A31" s="129"/>
      <c r="C31" s="139"/>
      <c r="D31" s="139" t="str">
        <f ca="1">' '!$A$168</f>
        <v>Description/Remarques</v>
      </c>
      <c r="E31" s="139"/>
      <c r="F31" s="139"/>
    </row>
    <row r="32" spans="1:6" x14ac:dyDescent="0.3">
      <c r="A32" s="129"/>
      <c r="C32" s="705"/>
      <c r="D32" s="705"/>
      <c r="E32" s="705"/>
      <c r="F32" s="705"/>
    </row>
    <row r="33" spans="1:6" x14ac:dyDescent="0.3">
      <c r="A33" s="129"/>
      <c r="C33" s="139"/>
      <c r="D33" s="139" t="str">
        <f ca="1">' '!$A$167</f>
        <v>Calcul</v>
      </c>
      <c r="E33" s="139"/>
      <c r="F33" s="139"/>
    </row>
    <row r="34" spans="1:6" x14ac:dyDescent="0.3">
      <c r="A34" s="129"/>
      <c r="C34" s="705"/>
      <c r="D34" s="705"/>
      <c r="E34" s="705" t="s">
        <v>375</v>
      </c>
      <c r="F34" s="705"/>
    </row>
    <row r="35" spans="1:6" x14ac:dyDescent="0.3">
      <c r="A35" s="129"/>
      <c r="C35" s="139"/>
      <c r="D35" s="140" t="str">
        <f ca="1">' '!$A$169</f>
        <v>Source</v>
      </c>
      <c r="E35" s="139" t="str">
        <f ca="1">' '!$A$170</f>
        <v>Moment de l'enquête &amp; Comparaison avec la branche</v>
      </c>
      <c r="F35" s="139"/>
    </row>
    <row r="36" spans="1:6" x14ac:dyDescent="0.3">
      <c r="A36" s="129"/>
      <c r="C36" s="706"/>
      <c r="D36" s="707"/>
      <c r="E36" s="706"/>
      <c r="F36" s="707"/>
    </row>
    <row r="37" spans="1:6" x14ac:dyDescent="0.3">
      <c r="A37" s="129"/>
      <c r="C37" s="706"/>
      <c r="D37" s="707"/>
      <c r="E37" s="706"/>
      <c r="F37" s="707"/>
    </row>
    <row r="38" spans="1:6" x14ac:dyDescent="0.3">
      <c r="A38" s="129"/>
      <c r="C38" s="706"/>
      <c r="D38" s="707"/>
      <c r="E38" s="706"/>
      <c r="F38" s="707"/>
    </row>
    <row r="39" spans="1:6" x14ac:dyDescent="0.3">
      <c r="A39" s="129"/>
      <c r="C39" s="139"/>
      <c r="D39" s="139"/>
      <c r="E39" s="139"/>
      <c r="F39" s="139"/>
    </row>
    <row r="40" spans="1:6" ht="15.6" x14ac:dyDescent="0.3">
      <c r="A40" s="129"/>
      <c r="D40" s="130"/>
    </row>
    <row r="41" spans="1:6" ht="24" customHeight="1" x14ac:dyDescent="0.3">
      <c r="A41" s="129"/>
      <c r="C41" s="136" t="s">
        <v>211</v>
      </c>
      <c r="D41" s="137">
        <f>_o4</f>
        <v>0</v>
      </c>
      <c r="E41" s="138"/>
      <c r="F41" s="138"/>
    </row>
    <row r="42" spans="1:6" x14ac:dyDescent="0.3">
      <c r="A42" s="129"/>
    </row>
    <row r="43" spans="1:6" x14ac:dyDescent="0.3">
      <c r="A43" s="129"/>
      <c r="C43" s="139"/>
      <c r="D43" s="139" t="str">
        <f ca="1">' '!$A$168</f>
        <v>Description/Remarques</v>
      </c>
      <c r="E43" s="139"/>
      <c r="F43" s="139"/>
    </row>
    <row r="44" spans="1:6" x14ac:dyDescent="0.3">
      <c r="A44" s="129"/>
      <c r="C44" s="705"/>
      <c r="D44" s="705"/>
      <c r="E44" s="705"/>
      <c r="F44" s="705"/>
    </row>
    <row r="45" spans="1:6" x14ac:dyDescent="0.3">
      <c r="A45" s="129"/>
      <c r="C45" s="139"/>
      <c r="D45" s="139" t="str">
        <f ca="1">' '!$A$167</f>
        <v>Calcul</v>
      </c>
      <c r="E45" s="139"/>
      <c r="F45" s="139"/>
    </row>
    <row r="46" spans="1:6" x14ac:dyDescent="0.3">
      <c r="A46" s="129"/>
      <c r="C46" s="705"/>
      <c r="D46" s="705"/>
      <c r="E46" s="705" t="s">
        <v>375</v>
      </c>
      <c r="F46" s="705"/>
    </row>
    <row r="47" spans="1:6" x14ac:dyDescent="0.3">
      <c r="A47" s="129"/>
      <c r="C47" s="139"/>
      <c r="D47" s="140" t="str">
        <f ca="1">' '!$A$169</f>
        <v>Source</v>
      </c>
      <c r="E47" s="139" t="str">
        <f ca="1">' '!$A$170</f>
        <v>Moment de l'enquête &amp; Comparaison avec la branche</v>
      </c>
      <c r="F47" s="139"/>
    </row>
    <row r="48" spans="1:6" x14ac:dyDescent="0.3">
      <c r="A48" s="129"/>
      <c r="C48" s="706"/>
      <c r="D48" s="707"/>
      <c r="E48" s="706"/>
      <c r="F48" s="707"/>
    </row>
    <row r="49" spans="1:6" x14ac:dyDescent="0.3">
      <c r="A49" s="129"/>
      <c r="C49" s="706"/>
      <c r="D49" s="707"/>
      <c r="E49" s="706"/>
      <c r="F49" s="707"/>
    </row>
    <row r="50" spans="1:6" x14ac:dyDescent="0.3">
      <c r="A50" s="129"/>
      <c r="C50" s="706"/>
      <c r="D50" s="707"/>
      <c r="E50" s="706"/>
      <c r="F50" s="707"/>
    </row>
    <row r="51" spans="1:6" x14ac:dyDescent="0.3">
      <c r="A51" s="129"/>
      <c r="C51" s="139"/>
      <c r="D51" s="139"/>
      <c r="E51" s="139"/>
      <c r="F51" s="139"/>
    </row>
    <row r="52" spans="1:6" ht="15.6" x14ac:dyDescent="0.3">
      <c r="A52" s="129"/>
      <c r="D52" s="130"/>
    </row>
    <row r="53" spans="1:6" ht="24" customHeight="1" x14ac:dyDescent="0.3">
      <c r="A53" s="129"/>
      <c r="C53" s="136" t="s">
        <v>212</v>
      </c>
      <c r="D53" s="137">
        <f>_o5</f>
        <v>0</v>
      </c>
      <c r="E53" s="138"/>
      <c r="F53" s="138"/>
    </row>
    <row r="54" spans="1:6" x14ac:dyDescent="0.3">
      <c r="A54" s="129"/>
    </row>
    <row r="55" spans="1:6" x14ac:dyDescent="0.3">
      <c r="A55" s="129"/>
      <c r="C55" s="139"/>
      <c r="D55" s="139" t="str">
        <f ca="1">' '!$A$168</f>
        <v>Description/Remarques</v>
      </c>
      <c r="E55" s="139"/>
      <c r="F55" s="139"/>
    </row>
    <row r="56" spans="1:6" x14ac:dyDescent="0.3">
      <c r="A56" s="129"/>
      <c r="C56" s="705"/>
      <c r="D56" s="705"/>
      <c r="E56" s="705"/>
      <c r="F56" s="705"/>
    </row>
    <row r="57" spans="1:6" x14ac:dyDescent="0.3">
      <c r="A57" s="129"/>
      <c r="C57" s="139"/>
      <c r="D57" s="139" t="str">
        <f ca="1">' '!$A$167</f>
        <v>Calcul</v>
      </c>
      <c r="E57" s="139"/>
      <c r="F57" s="139"/>
    </row>
    <row r="58" spans="1:6" x14ac:dyDescent="0.3">
      <c r="A58" s="129"/>
      <c r="C58" s="705"/>
      <c r="D58" s="705"/>
      <c r="E58" s="705" t="s">
        <v>375</v>
      </c>
      <c r="F58" s="705"/>
    </row>
    <row r="59" spans="1:6" x14ac:dyDescent="0.3">
      <c r="A59" s="129"/>
      <c r="C59" s="139"/>
      <c r="D59" s="140" t="str">
        <f ca="1">' '!$A$169</f>
        <v>Source</v>
      </c>
      <c r="E59" s="139" t="str">
        <f ca="1">' '!$A$170</f>
        <v>Moment de l'enquête &amp; Comparaison avec la branche</v>
      </c>
      <c r="F59" s="139"/>
    </row>
    <row r="60" spans="1:6" x14ac:dyDescent="0.3">
      <c r="A60" s="129"/>
      <c r="C60" s="706"/>
      <c r="D60" s="707"/>
      <c r="E60" s="706"/>
      <c r="F60" s="707"/>
    </row>
    <row r="61" spans="1:6" x14ac:dyDescent="0.3">
      <c r="A61" s="129"/>
      <c r="C61" s="706"/>
      <c r="D61" s="707"/>
      <c r="E61" s="706"/>
      <c r="F61" s="707"/>
    </row>
    <row r="62" spans="1:6" x14ac:dyDescent="0.3">
      <c r="A62" s="129"/>
      <c r="C62" s="706"/>
      <c r="D62" s="707"/>
      <c r="E62" s="706"/>
      <c r="F62" s="707"/>
    </row>
    <row r="63" spans="1:6" x14ac:dyDescent="0.3">
      <c r="A63" s="129"/>
      <c r="C63" s="139"/>
      <c r="D63" s="139"/>
      <c r="E63" s="139"/>
      <c r="F63" s="139"/>
    </row>
    <row r="64" spans="1:6" ht="15.6" x14ac:dyDescent="0.3">
      <c r="A64" s="129"/>
      <c r="D64" s="130"/>
    </row>
    <row r="65" spans="1:6" ht="24" customHeight="1" x14ac:dyDescent="0.3">
      <c r="A65" s="129"/>
      <c r="C65" s="136" t="s">
        <v>213</v>
      </c>
      <c r="D65" s="137">
        <f>_o6</f>
        <v>0</v>
      </c>
      <c r="E65" s="138"/>
      <c r="F65" s="138"/>
    </row>
    <row r="66" spans="1:6" x14ac:dyDescent="0.3">
      <c r="A66" s="129"/>
    </row>
    <row r="67" spans="1:6" x14ac:dyDescent="0.3">
      <c r="A67" s="129"/>
      <c r="C67" s="139"/>
      <c r="D67" s="139" t="str">
        <f ca="1">' '!$A$168</f>
        <v>Description/Remarques</v>
      </c>
      <c r="E67" s="139"/>
      <c r="F67" s="139"/>
    </row>
    <row r="68" spans="1:6" x14ac:dyDescent="0.3">
      <c r="A68" s="129"/>
      <c r="C68" s="705"/>
      <c r="D68" s="705"/>
      <c r="E68" s="705"/>
      <c r="F68" s="705"/>
    </row>
    <row r="69" spans="1:6" x14ac:dyDescent="0.3">
      <c r="A69" s="129"/>
      <c r="C69" s="139"/>
      <c r="D69" s="139" t="str">
        <f ca="1">' '!$A$167</f>
        <v>Calcul</v>
      </c>
      <c r="E69" s="139"/>
      <c r="F69" s="139"/>
    </row>
    <row r="70" spans="1:6" x14ac:dyDescent="0.3">
      <c r="A70" s="129"/>
      <c r="C70" s="705"/>
      <c r="D70" s="705"/>
      <c r="E70" s="705" t="s">
        <v>375</v>
      </c>
      <c r="F70" s="705"/>
    </row>
    <row r="71" spans="1:6" x14ac:dyDescent="0.3">
      <c r="A71" s="129"/>
      <c r="C71" s="139"/>
      <c r="D71" s="140" t="str">
        <f ca="1">' '!$A$169</f>
        <v>Source</v>
      </c>
      <c r="E71" s="139" t="str">
        <f ca="1">' '!$A$170</f>
        <v>Moment de l'enquête &amp; Comparaison avec la branche</v>
      </c>
      <c r="F71" s="139"/>
    </row>
    <row r="72" spans="1:6" x14ac:dyDescent="0.3">
      <c r="A72" s="129"/>
      <c r="C72" s="706"/>
      <c r="D72" s="707"/>
      <c r="E72" s="706"/>
      <c r="F72" s="707"/>
    </row>
    <row r="73" spans="1:6" x14ac:dyDescent="0.3">
      <c r="A73" s="129"/>
      <c r="C73" s="706"/>
      <c r="D73" s="707"/>
      <c r="E73" s="706"/>
      <c r="F73" s="707"/>
    </row>
    <row r="74" spans="1:6" x14ac:dyDescent="0.3">
      <c r="A74" s="129"/>
      <c r="C74" s="706"/>
      <c r="D74" s="707"/>
      <c r="E74" s="706"/>
      <c r="F74" s="707"/>
    </row>
    <row r="75" spans="1:6" x14ac:dyDescent="0.3">
      <c r="A75" s="129"/>
      <c r="C75" s="139"/>
      <c r="D75" s="139"/>
      <c r="E75" s="139"/>
      <c r="F75" s="139"/>
    </row>
    <row r="76" spans="1:6" ht="15.6" x14ac:dyDescent="0.3">
      <c r="A76" s="129"/>
      <c r="D76" s="130"/>
    </row>
    <row r="77" spans="1:6" ht="24" customHeight="1" x14ac:dyDescent="0.3">
      <c r="A77" s="129"/>
      <c r="C77" s="136" t="s">
        <v>214</v>
      </c>
      <c r="D77" s="137">
        <f>_o7</f>
        <v>0</v>
      </c>
      <c r="E77" s="138"/>
      <c r="F77" s="138"/>
    </row>
    <row r="78" spans="1:6" x14ac:dyDescent="0.3">
      <c r="A78" s="129"/>
    </row>
    <row r="79" spans="1:6" x14ac:dyDescent="0.3">
      <c r="A79" s="129"/>
      <c r="C79" s="139"/>
      <c r="D79" s="139" t="str">
        <f ca="1">' '!$A$168</f>
        <v>Description/Remarques</v>
      </c>
      <c r="E79" s="139"/>
      <c r="F79" s="139"/>
    </row>
    <row r="80" spans="1:6" x14ac:dyDescent="0.3">
      <c r="A80" s="129"/>
      <c r="C80" s="705"/>
      <c r="D80" s="705"/>
      <c r="E80" s="705"/>
      <c r="F80" s="705"/>
    </row>
    <row r="81" spans="1:6" x14ac:dyDescent="0.3">
      <c r="A81" s="129"/>
      <c r="C81" s="139"/>
      <c r="D81" s="139" t="str">
        <f ca="1">' '!$A$167</f>
        <v>Calcul</v>
      </c>
      <c r="E81" s="139"/>
      <c r="F81" s="139"/>
    </row>
    <row r="82" spans="1:6" x14ac:dyDescent="0.3">
      <c r="A82" s="129"/>
      <c r="C82" s="705"/>
      <c r="D82" s="705"/>
      <c r="E82" s="705" t="s">
        <v>375</v>
      </c>
      <c r="F82" s="705"/>
    </row>
    <row r="83" spans="1:6" x14ac:dyDescent="0.3">
      <c r="A83" s="129"/>
      <c r="C83" s="139"/>
      <c r="D83" s="140" t="str">
        <f ca="1">' '!$A$169</f>
        <v>Source</v>
      </c>
      <c r="E83" s="139" t="str">
        <f ca="1">' '!$A$170</f>
        <v>Moment de l'enquête &amp; Comparaison avec la branche</v>
      </c>
      <c r="F83" s="139"/>
    </row>
    <row r="84" spans="1:6" x14ac:dyDescent="0.3">
      <c r="A84" s="129"/>
      <c r="C84" s="706"/>
      <c r="D84" s="707"/>
      <c r="E84" s="706"/>
      <c r="F84" s="707"/>
    </row>
    <row r="85" spans="1:6" x14ac:dyDescent="0.3">
      <c r="A85" s="129"/>
      <c r="C85" s="706"/>
      <c r="D85" s="707"/>
      <c r="E85" s="706"/>
      <c r="F85" s="707"/>
    </row>
    <row r="86" spans="1:6" x14ac:dyDescent="0.3">
      <c r="A86" s="129"/>
      <c r="C86" s="706"/>
      <c r="D86" s="707"/>
      <c r="E86" s="706"/>
      <c r="F86" s="707"/>
    </row>
    <row r="87" spans="1:6" x14ac:dyDescent="0.3">
      <c r="A87" s="129"/>
      <c r="C87" s="139"/>
      <c r="D87" s="139"/>
      <c r="E87" s="139"/>
      <c r="F87" s="139"/>
    </row>
    <row r="88" spans="1:6" ht="15.6" x14ac:dyDescent="0.3">
      <c r="A88" s="129"/>
      <c r="D88" s="130"/>
    </row>
    <row r="89" spans="1:6" ht="24" customHeight="1" x14ac:dyDescent="0.3">
      <c r="A89" s="129"/>
      <c r="C89" s="136" t="s">
        <v>215</v>
      </c>
      <c r="D89" s="137">
        <f>_o8</f>
        <v>0</v>
      </c>
      <c r="E89" s="138"/>
      <c r="F89" s="138"/>
    </row>
    <row r="90" spans="1:6" x14ac:dyDescent="0.3">
      <c r="A90" s="129"/>
    </row>
    <row r="91" spans="1:6" x14ac:dyDescent="0.3">
      <c r="A91" s="129"/>
      <c r="C91" s="139"/>
      <c r="D91" s="139" t="str">
        <f ca="1">' '!$A$168</f>
        <v>Description/Remarques</v>
      </c>
      <c r="E91" s="139"/>
      <c r="F91" s="139"/>
    </row>
    <row r="92" spans="1:6" x14ac:dyDescent="0.3">
      <c r="A92" s="129"/>
      <c r="C92" s="705"/>
      <c r="D92" s="705"/>
      <c r="E92" s="705"/>
      <c r="F92" s="705"/>
    </row>
    <row r="93" spans="1:6" x14ac:dyDescent="0.3">
      <c r="A93" s="129"/>
      <c r="C93" s="139"/>
      <c r="D93" s="139" t="str">
        <f ca="1">' '!$A$167</f>
        <v>Calcul</v>
      </c>
      <c r="E93" s="139"/>
      <c r="F93" s="139"/>
    </row>
    <row r="94" spans="1:6" x14ac:dyDescent="0.3">
      <c r="A94" s="129"/>
      <c r="C94" s="705"/>
      <c r="D94" s="705"/>
      <c r="E94" s="705" t="s">
        <v>375</v>
      </c>
      <c r="F94" s="705"/>
    </row>
    <row r="95" spans="1:6" x14ac:dyDescent="0.3">
      <c r="A95" s="129"/>
      <c r="C95" s="139"/>
      <c r="D95" s="140" t="str">
        <f ca="1">' '!$A$169</f>
        <v>Source</v>
      </c>
      <c r="E95" s="139" t="str">
        <f ca="1">' '!$A$170</f>
        <v>Moment de l'enquête &amp; Comparaison avec la branche</v>
      </c>
      <c r="F95" s="139"/>
    </row>
    <row r="96" spans="1:6" x14ac:dyDescent="0.3">
      <c r="A96" s="129"/>
      <c r="C96" s="706"/>
      <c r="D96" s="707"/>
      <c r="E96" s="706"/>
      <c r="F96" s="707"/>
    </row>
    <row r="97" spans="1:6" x14ac:dyDescent="0.3">
      <c r="A97" s="129"/>
      <c r="C97" s="706"/>
      <c r="D97" s="707"/>
      <c r="E97" s="706"/>
      <c r="F97" s="707"/>
    </row>
    <row r="98" spans="1:6" x14ac:dyDescent="0.3">
      <c r="A98" s="129"/>
      <c r="C98" s="706"/>
      <c r="D98" s="707"/>
      <c r="E98" s="706"/>
      <c r="F98" s="707"/>
    </row>
    <row r="99" spans="1:6" x14ac:dyDescent="0.3">
      <c r="A99" s="129"/>
      <c r="C99" s="139"/>
      <c r="D99" s="139"/>
      <c r="E99" s="139"/>
      <c r="F99" s="139"/>
    </row>
    <row r="100" spans="1:6" ht="15.6" x14ac:dyDescent="0.3">
      <c r="A100" s="129"/>
      <c r="D100" s="130"/>
    </row>
    <row r="101" spans="1:6" ht="24" customHeight="1" x14ac:dyDescent="0.3">
      <c r="A101" s="129"/>
      <c r="C101" s="136" t="s">
        <v>216</v>
      </c>
      <c r="D101" s="137">
        <f>_o9</f>
        <v>0</v>
      </c>
      <c r="E101" s="138"/>
      <c r="F101" s="138"/>
    </row>
    <row r="102" spans="1:6" x14ac:dyDescent="0.3">
      <c r="A102" s="129"/>
    </row>
    <row r="103" spans="1:6" x14ac:dyDescent="0.3">
      <c r="A103" s="129"/>
      <c r="C103" s="139"/>
      <c r="D103" s="139" t="str">
        <f ca="1">' '!$A$168</f>
        <v>Description/Remarques</v>
      </c>
      <c r="E103" s="139"/>
      <c r="F103" s="139"/>
    </row>
    <row r="104" spans="1:6" x14ac:dyDescent="0.3">
      <c r="A104" s="129"/>
      <c r="C104" s="705"/>
      <c r="D104" s="705"/>
      <c r="E104" s="705"/>
      <c r="F104" s="705"/>
    </row>
    <row r="105" spans="1:6" x14ac:dyDescent="0.3">
      <c r="A105" s="129"/>
      <c r="C105" s="139"/>
      <c r="D105" s="139" t="str">
        <f ca="1">' '!$A$167</f>
        <v>Calcul</v>
      </c>
      <c r="E105" s="139"/>
      <c r="F105" s="139"/>
    </row>
    <row r="106" spans="1:6" x14ac:dyDescent="0.3">
      <c r="A106" s="129"/>
      <c r="C106" s="705"/>
      <c r="D106" s="705"/>
      <c r="E106" s="705" t="s">
        <v>375</v>
      </c>
      <c r="F106" s="705"/>
    </row>
    <row r="107" spans="1:6" x14ac:dyDescent="0.3">
      <c r="A107" s="129"/>
      <c r="C107" s="139"/>
      <c r="D107" s="140" t="str">
        <f ca="1">' '!$A$169</f>
        <v>Source</v>
      </c>
      <c r="E107" s="139" t="str">
        <f ca="1">' '!$A$170</f>
        <v>Moment de l'enquête &amp; Comparaison avec la branche</v>
      </c>
      <c r="F107" s="139"/>
    </row>
    <row r="108" spans="1:6" x14ac:dyDescent="0.3">
      <c r="A108" s="129"/>
      <c r="C108" s="706"/>
      <c r="D108" s="707"/>
      <c r="E108" s="706"/>
      <c r="F108" s="707"/>
    </row>
    <row r="109" spans="1:6" x14ac:dyDescent="0.3">
      <c r="A109" s="129"/>
      <c r="C109" s="706"/>
      <c r="D109" s="707"/>
      <c r="E109" s="706"/>
      <c r="F109" s="707"/>
    </row>
    <row r="110" spans="1:6" x14ac:dyDescent="0.3">
      <c r="A110" s="129"/>
      <c r="C110" s="706"/>
      <c r="D110" s="707"/>
      <c r="E110" s="706"/>
      <c r="F110" s="707"/>
    </row>
    <row r="111" spans="1:6" x14ac:dyDescent="0.3">
      <c r="A111" s="129"/>
      <c r="C111" s="139"/>
      <c r="D111" s="139"/>
      <c r="E111" s="139"/>
      <c r="F111" s="139"/>
    </row>
    <row r="112" spans="1:6" ht="15.6" x14ac:dyDescent="0.3">
      <c r="A112" s="129"/>
      <c r="D112" s="130"/>
    </row>
    <row r="113" spans="1:6" ht="24" customHeight="1" x14ac:dyDescent="0.3">
      <c r="A113" s="129"/>
      <c r="C113" s="136" t="s">
        <v>217</v>
      </c>
      <c r="D113" s="137">
        <f>_o10</f>
        <v>0</v>
      </c>
      <c r="E113" s="138"/>
      <c r="F113" s="138"/>
    </row>
    <row r="114" spans="1:6" x14ac:dyDescent="0.3">
      <c r="A114" s="129"/>
    </row>
    <row r="115" spans="1:6" x14ac:dyDescent="0.3">
      <c r="A115" s="129"/>
      <c r="C115" s="139"/>
      <c r="D115" s="139" t="str">
        <f ca="1">' '!$A$168</f>
        <v>Description/Remarques</v>
      </c>
      <c r="E115" s="139"/>
      <c r="F115" s="139"/>
    </row>
    <row r="116" spans="1:6" x14ac:dyDescent="0.3">
      <c r="A116" s="129"/>
      <c r="C116" s="705"/>
      <c r="D116" s="705"/>
      <c r="E116" s="705"/>
      <c r="F116" s="705"/>
    </row>
    <row r="117" spans="1:6" x14ac:dyDescent="0.3">
      <c r="A117" s="129"/>
      <c r="C117" s="139"/>
      <c r="D117" s="139" t="str">
        <f ca="1">' '!$A$167</f>
        <v>Calcul</v>
      </c>
      <c r="E117" s="139"/>
      <c r="F117" s="139"/>
    </row>
    <row r="118" spans="1:6" x14ac:dyDescent="0.3">
      <c r="A118" s="129"/>
      <c r="C118" s="705"/>
      <c r="D118" s="705"/>
      <c r="E118" s="705" t="s">
        <v>375</v>
      </c>
      <c r="F118" s="705"/>
    </row>
    <row r="119" spans="1:6" x14ac:dyDescent="0.3">
      <c r="A119" s="129"/>
      <c r="C119" s="139"/>
      <c r="D119" s="140" t="str">
        <f ca="1">' '!$A$169</f>
        <v>Source</v>
      </c>
      <c r="E119" s="139" t="str">
        <f ca="1">' '!$A$170</f>
        <v>Moment de l'enquête &amp; Comparaison avec la branche</v>
      </c>
      <c r="F119" s="139"/>
    </row>
    <row r="120" spans="1:6" x14ac:dyDescent="0.3">
      <c r="A120" s="129"/>
      <c r="C120" s="706"/>
      <c r="D120" s="707"/>
      <c r="E120" s="706"/>
      <c r="F120" s="707"/>
    </row>
    <row r="121" spans="1:6" x14ac:dyDescent="0.3">
      <c r="A121" s="129"/>
      <c r="C121" s="706"/>
      <c r="D121" s="707"/>
      <c r="E121" s="706"/>
      <c r="F121" s="707"/>
    </row>
    <row r="122" spans="1:6" x14ac:dyDescent="0.3">
      <c r="A122" s="129"/>
      <c r="C122" s="706"/>
      <c r="D122" s="707"/>
      <c r="E122" s="706"/>
      <c r="F122" s="707"/>
    </row>
    <row r="123" spans="1:6" x14ac:dyDescent="0.3">
      <c r="A123" s="129"/>
      <c r="C123" s="139"/>
      <c r="D123" s="139"/>
      <c r="E123" s="139"/>
      <c r="F123" s="139"/>
    </row>
    <row r="124" spans="1:6" ht="15.6" x14ac:dyDescent="0.3">
      <c r="A124" s="129"/>
      <c r="D124" s="130"/>
    </row>
    <row r="125" spans="1:6" ht="24" customHeight="1" x14ac:dyDescent="0.3">
      <c r="A125" s="129"/>
      <c r="C125" s="136" t="s">
        <v>218</v>
      </c>
      <c r="D125" s="137">
        <f>_o11</f>
        <v>0</v>
      </c>
      <c r="E125" s="138"/>
      <c r="F125" s="138"/>
    </row>
    <row r="126" spans="1:6" x14ac:dyDescent="0.3">
      <c r="A126" s="129"/>
    </row>
    <row r="127" spans="1:6" x14ac:dyDescent="0.3">
      <c r="A127" s="129"/>
      <c r="C127" s="139"/>
      <c r="D127" s="139" t="str">
        <f ca="1">' '!$A$168</f>
        <v>Description/Remarques</v>
      </c>
      <c r="E127" s="139"/>
      <c r="F127" s="139"/>
    </row>
    <row r="128" spans="1:6" x14ac:dyDescent="0.3">
      <c r="A128" s="129"/>
      <c r="C128" s="705"/>
      <c r="D128" s="705"/>
      <c r="E128" s="705"/>
      <c r="F128" s="705"/>
    </row>
    <row r="129" spans="1:6" x14ac:dyDescent="0.3">
      <c r="A129" s="129"/>
      <c r="C129" s="139"/>
      <c r="D129" s="139" t="str">
        <f ca="1">' '!$A$167</f>
        <v>Calcul</v>
      </c>
      <c r="E129" s="139"/>
      <c r="F129" s="139"/>
    </row>
    <row r="130" spans="1:6" x14ac:dyDescent="0.3">
      <c r="A130" s="129"/>
      <c r="C130" s="705"/>
      <c r="D130" s="705"/>
      <c r="E130" s="705" t="s">
        <v>375</v>
      </c>
      <c r="F130" s="705"/>
    </row>
    <row r="131" spans="1:6" x14ac:dyDescent="0.3">
      <c r="A131" s="129"/>
      <c r="C131" s="139"/>
      <c r="D131" s="140" t="str">
        <f ca="1">' '!$A$169</f>
        <v>Source</v>
      </c>
      <c r="E131" s="139" t="str">
        <f ca="1">' '!$A$170</f>
        <v>Moment de l'enquête &amp; Comparaison avec la branche</v>
      </c>
      <c r="F131" s="139"/>
    </row>
    <row r="132" spans="1:6" x14ac:dyDescent="0.3">
      <c r="A132" s="129"/>
      <c r="C132" s="706"/>
      <c r="D132" s="707"/>
      <c r="E132" s="706"/>
      <c r="F132" s="707"/>
    </row>
    <row r="133" spans="1:6" x14ac:dyDescent="0.3">
      <c r="A133" s="129"/>
      <c r="C133" s="706"/>
      <c r="D133" s="707"/>
      <c r="E133" s="706"/>
      <c r="F133" s="707"/>
    </row>
    <row r="134" spans="1:6" x14ac:dyDescent="0.3">
      <c r="A134" s="129"/>
      <c r="C134" s="706"/>
      <c r="D134" s="707"/>
      <c r="E134" s="706"/>
      <c r="F134" s="707"/>
    </row>
    <row r="135" spans="1:6" x14ac:dyDescent="0.3">
      <c r="A135" s="129"/>
      <c r="C135" s="139"/>
      <c r="D135" s="139"/>
      <c r="E135" s="139"/>
      <c r="F135" s="139"/>
    </row>
    <row r="136" spans="1:6" ht="15.6" x14ac:dyDescent="0.3">
      <c r="A136" s="129"/>
      <c r="D136" s="130"/>
    </row>
    <row r="137" spans="1:6" ht="24" customHeight="1" x14ac:dyDescent="0.3">
      <c r="A137" s="129"/>
      <c r="C137" s="136" t="s">
        <v>219</v>
      </c>
      <c r="D137" s="137">
        <f>_o12</f>
        <v>0</v>
      </c>
      <c r="E137" s="138"/>
      <c r="F137" s="138"/>
    </row>
    <row r="138" spans="1:6" x14ac:dyDescent="0.3">
      <c r="A138" s="129"/>
    </row>
    <row r="139" spans="1:6" x14ac:dyDescent="0.3">
      <c r="A139" s="129"/>
      <c r="C139" s="139"/>
      <c r="D139" s="139" t="str">
        <f ca="1">' '!$A$168</f>
        <v>Description/Remarques</v>
      </c>
      <c r="E139" s="139"/>
      <c r="F139" s="139"/>
    </row>
    <row r="140" spans="1:6" x14ac:dyDescent="0.3">
      <c r="A140" s="129"/>
      <c r="C140" s="705"/>
      <c r="D140" s="705"/>
      <c r="E140" s="705"/>
      <c r="F140" s="705"/>
    </row>
    <row r="141" spans="1:6" x14ac:dyDescent="0.3">
      <c r="A141" s="129"/>
      <c r="C141" s="139"/>
      <c r="D141" s="139" t="str">
        <f ca="1">' '!$A$167</f>
        <v>Calcul</v>
      </c>
      <c r="E141" s="139"/>
      <c r="F141" s="139"/>
    </row>
    <row r="142" spans="1:6" x14ac:dyDescent="0.3">
      <c r="A142" s="129"/>
      <c r="C142" s="705"/>
      <c r="D142" s="705"/>
      <c r="E142" s="705" t="s">
        <v>375</v>
      </c>
      <c r="F142" s="705"/>
    </row>
    <row r="143" spans="1:6" x14ac:dyDescent="0.3">
      <c r="A143" s="129"/>
      <c r="C143" s="139"/>
      <c r="D143" s="140" t="str">
        <f ca="1">' '!$A$169</f>
        <v>Source</v>
      </c>
      <c r="E143" s="139" t="str">
        <f ca="1">' '!$A$170</f>
        <v>Moment de l'enquête &amp; Comparaison avec la branche</v>
      </c>
      <c r="F143" s="139"/>
    </row>
    <row r="144" spans="1:6" x14ac:dyDescent="0.3">
      <c r="A144" s="129"/>
      <c r="C144" s="706"/>
      <c r="D144" s="707"/>
      <c r="E144" s="706"/>
      <c r="F144" s="707"/>
    </row>
    <row r="145" spans="1:6" x14ac:dyDescent="0.3">
      <c r="A145" s="129"/>
      <c r="C145" s="706"/>
      <c r="D145" s="707"/>
      <c r="E145" s="706"/>
      <c r="F145" s="707"/>
    </row>
    <row r="146" spans="1:6" x14ac:dyDescent="0.3">
      <c r="A146" s="129"/>
      <c r="C146" s="706"/>
      <c r="D146" s="707"/>
      <c r="E146" s="706"/>
      <c r="F146" s="707"/>
    </row>
    <row r="147" spans="1:6" x14ac:dyDescent="0.3">
      <c r="A147" s="129"/>
      <c r="C147" s="139"/>
      <c r="D147" s="139"/>
      <c r="E147" s="139"/>
      <c r="F147" s="139"/>
    </row>
    <row r="148" spans="1:6" ht="15.6" x14ac:dyDescent="0.3">
      <c r="A148" s="129"/>
      <c r="D148" s="130"/>
    </row>
    <row r="149" spans="1:6" ht="24" customHeight="1" x14ac:dyDescent="0.3">
      <c r="A149" s="129"/>
      <c r="C149" s="136" t="s">
        <v>220</v>
      </c>
      <c r="D149" s="137">
        <f>_o13</f>
        <v>0</v>
      </c>
      <c r="E149" s="138"/>
      <c r="F149" s="138"/>
    </row>
    <row r="150" spans="1:6" x14ac:dyDescent="0.3">
      <c r="A150" s="129"/>
    </row>
    <row r="151" spans="1:6" x14ac:dyDescent="0.3">
      <c r="A151" s="129"/>
      <c r="C151" s="139"/>
      <c r="D151" s="139" t="str">
        <f ca="1">' '!$A$168</f>
        <v>Description/Remarques</v>
      </c>
      <c r="E151" s="139"/>
      <c r="F151" s="139"/>
    </row>
    <row r="152" spans="1:6" x14ac:dyDescent="0.3">
      <c r="A152" s="129"/>
      <c r="C152" s="705"/>
      <c r="D152" s="705"/>
      <c r="E152" s="705"/>
      <c r="F152" s="705"/>
    </row>
    <row r="153" spans="1:6" x14ac:dyDescent="0.3">
      <c r="A153" s="129"/>
      <c r="C153" s="139"/>
      <c r="D153" s="139" t="str">
        <f ca="1">' '!$A$167</f>
        <v>Calcul</v>
      </c>
      <c r="E153" s="139"/>
      <c r="F153" s="139"/>
    </row>
    <row r="154" spans="1:6" x14ac:dyDescent="0.3">
      <c r="A154" s="129"/>
      <c r="C154" s="705"/>
      <c r="D154" s="705"/>
      <c r="E154" s="705" t="s">
        <v>375</v>
      </c>
      <c r="F154" s="705"/>
    </row>
    <row r="155" spans="1:6" x14ac:dyDescent="0.3">
      <c r="A155" s="129"/>
      <c r="C155" s="139"/>
      <c r="D155" s="140" t="str">
        <f ca="1">' '!$A$169</f>
        <v>Source</v>
      </c>
      <c r="E155" s="139" t="str">
        <f ca="1">' '!$A$170</f>
        <v>Moment de l'enquête &amp; Comparaison avec la branche</v>
      </c>
      <c r="F155" s="139"/>
    </row>
    <row r="156" spans="1:6" x14ac:dyDescent="0.3">
      <c r="A156" s="129"/>
      <c r="C156" s="706"/>
      <c r="D156" s="707"/>
      <c r="E156" s="706"/>
      <c r="F156" s="707"/>
    </row>
    <row r="157" spans="1:6" x14ac:dyDescent="0.3">
      <c r="A157" s="129"/>
      <c r="C157" s="706"/>
      <c r="D157" s="707"/>
      <c r="E157" s="706"/>
      <c r="F157" s="707"/>
    </row>
    <row r="158" spans="1:6" x14ac:dyDescent="0.3">
      <c r="A158" s="129"/>
      <c r="C158" s="706"/>
      <c r="D158" s="707"/>
      <c r="E158" s="706"/>
      <c r="F158" s="707"/>
    </row>
    <row r="159" spans="1:6" x14ac:dyDescent="0.3">
      <c r="A159" s="129"/>
      <c r="C159" s="139"/>
      <c r="D159" s="139"/>
      <c r="E159" s="139"/>
      <c r="F159" s="139"/>
    </row>
    <row r="160" spans="1:6" ht="15.6" x14ac:dyDescent="0.3">
      <c r="A160" s="129"/>
      <c r="D160" s="130"/>
    </row>
    <row r="161" spans="1:6" ht="24" customHeight="1" x14ac:dyDescent="0.3">
      <c r="A161" s="129"/>
      <c r="C161" s="136" t="s">
        <v>221</v>
      </c>
      <c r="D161" s="137">
        <f>_o14</f>
        <v>0</v>
      </c>
      <c r="E161" s="138"/>
      <c r="F161" s="138"/>
    </row>
    <row r="162" spans="1:6" x14ac:dyDescent="0.3">
      <c r="A162" s="129"/>
    </row>
    <row r="163" spans="1:6" x14ac:dyDescent="0.3">
      <c r="A163" s="129"/>
      <c r="C163" s="139"/>
      <c r="D163" s="139" t="str">
        <f ca="1">' '!$A$168</f>
        <v>Description/Remarques</v>
      </c>
      <c r="E163" s="139"/>
      <c r="F163" s="139"/>
    </row>
    <row r="164" spans="1:6" x14ac:dyDescent="0.3">
      <c r="A164" s="129"/>
      <c r="C164" s="705"/>
      <c r="D164" s="705"/>
      <c r="E164" s="705"/>
      <c r="F164" s="705"/>
    </row>
    <row r="165" spans="1:6" x14ac:dyDescent="0.3">
      <c r="A165" s="129"/>
      <c r="C165" s="139"/>
      <c r="D165" s="139" t="str">
        <f ca="1">' '!$A$167</f>
        <v>Calcul</v>
      </c>
      <c r="E165" s="139"/>
      <c r="F165" s="139"/>
    </row>
    <row r="166" spans="1:6" x14ac:dyDescent="0.3">
      <c r="A166" s="129"/>
      <c r="C166" s="705"/>
      <c r="D166" s="705"/>
      <c r="E166" s="705" t="s">
        <v>375</v>
      </c>
      <c r="F166" s="705"/>
    </row>
    <row r="167" spans="1:6" x14ac:dyDescent="0.3">
      <c r="A167" s="129"/>
      <c r="C167" s="139"/>
      <c r="D167" s="140" t="str">
        <f ca="1">' '!$A$169</f>
        <v>Source</v>
      </c>
      <c r="E167" s="139" t="str">
        <f ca="1">' '!$A$170</f>
        <v>Moment de l'enquête &amp; Comparaison avec la branche</v>
      </c>
      <c r="F167" s="139"/>
    </row>
    <row r="168" spans="1:6" x14ac:dyDescent="0.3">
      <c r="A168" s="129"/>
      <c r="C168" s="706"/>
      <c r="D168" s="707"/>
      <c r="E168" s="706"/>
      <c r="F168" s="707"/>
    </row>
    <row r="169" spans="1:6" x14ac:dyDescent="0.3">
      <c r="A169" s="129"/>
      <c r="C169" s="706"/>
      <c r="D169" s="707"/>
      <c r="E169" s="706"/>
      <c r="F169" s="707"/>
    </row>
    <row r="170" spans="1:6" x14ac:dyDescent="0.3">
      <c r="A170" s="129"/>
      <c r="C170" s="706"/>
      <c r="D170" s="707"/>
      <c r="E170" s="706"/>
      <c r="F170" s="707"/>
    </row>
    <row r="171" spans="1:6" x14ac:dyDescent="0.3">
      <c r="A171" s="129"/>
      <c r="C171" s="139"/>
      <c r="D171" s="139"/>
      <c r="E171" s="139"/>
      <c r="F171" s="139"/>
    </row>
    <row r="172" spans="1:6" ht="15.6" x14ac:dyDescent="0.3">
      <c r="A172" s="129"/>
      <c r="D172" s="130"/>
    </row>
    <row r="173" spans="1:6" ht="24" customHeight="1" x14ac:dyDescent="0.3">
      <c r="A173" s="129"/>
      <c r="C173" s="136" t="s">
        <v>222</v>
      </c>
      <c r="D173" s="137">
        <f>_o15</f>
        <v>0</v>
      </c>
      <c r="E173" s="138"/>
      <c r="F173" s="138"/>
    </row>
    <row r="174" spans="1:6" x14ac:dyDescent="0.3">
      <c r="A174" s="129"/>
    </row>
    <row r="175" spans="1:6" x14ac:dyDescent="0.3">
      <c r="A175" s="129"/>
      <c r="C175" s="139"/>
      <c r="D175" s="139" t="str">
        <f ca="1">' '!$A$168</f>
        <v>Description/Remarques</v>
      </c>
      <c r="E175" s="139"/>
      <c r="F175" s="139"/>
    </row>
    <row r="176" spans="1:6" x14ac:dyDescent="0.3">
      <c r="A176" s="129"/>
      <c r="C176" s="705"/>
      <c r="D176" s="705"/>
      <c r="E176" s="705"/>
      <c r="F176" s="705"/>
    </row>
    <row r="177" spans="1:6" x14ac:dyDescent="0.3">
      <c r="A177" s="129"/>
      <c r="C177" s="139"/>
      <c r="D177" s="139" t="str">
        <f ca="1">' '!$A$167</f>
        <v>Calcul</v>
      </c>
      <c r="E177" s="139"/>
      <c r="F177" s="139"/>
    </row>
    <row r="178" spans="1:6" x14ac:dyDescent="0.3">
      <c r="A178" s="129"/>
      <c r="C178" s="705"/>
      <c r="D178" s="705"/>
      <c r="E178" s="705" t="s">
        <v>375</v>
      </c>
      <c r="F178" s="705"/>
    </row>
    <row r="179" spans="1:6" x14ac:dyDescent="0.3">
      <c r="A179" s="129"/>
      <c r="C179" s="139"/>
      <c r="D179" s="140" t="str">
        <f ca="1">' '!$A$169</f>
        <v>Source</v>
      </c>
      <c r="E179" s="139" t="str">
        <f ca="1">' '!$A$170</f>
        <v>Moment de l'enquête &amp; Comparaison avec la branche</v>
      </c>
      <c r="F179" s="139"/>
    </row>
    <row r="180" spans="1:6" x14ac:dyDescent="0.3">
      <c r="A180" s="129"/>
      <c r="C180" s="706"/>
      <c r="D180" s="707"/>
      <c r="E180" s="706"/>
      <c r="F180" s="707"/>
    </row>
    <row r="181" spans="1:6" x14ac:dyDescent="0.3">
      <c r="A181" s="129"/>
      <c r="C181" s="706"/>
      <c r="D181" s="707"/>
      <c r="E181" s="706"/>
      <c r="F181" s="707"/>
    </row>
    <row r="182" spans="1:6" x14ac:dyDescent="0.3">
      <c r="A182" s="129"/>
      <c r="C182" s="706"/>
      <c r="D182" s="707"/>
      <c r="E182" s="706"/>
      <c r="F182" s="707"/>
    </row>
    <row r="183" spans="1:6" x14ac:dyDescent="0.3">
      <c r="A183" s="129"/>
      <c r="C183" s="139"/>
      <c r="D183" s="139"/>
      <c r="E183" s="139"/>
      <c r="F183" s="139"/>
    </row>
    <row r="184" spans="1:6" ht="15.6" x14ac:dyDescent="0.3">
      <c r="A184" s="129"/>
      <c r="D184" s="130"/>
    </row>
    <row r="185" spans="1:6" ht="24" customHeight="1" x14ac:dyDescent="0.3">
      <c r="A185" s="129"/>
      <c r="C185" s="136" t="s">
        <v>223</v>
      </c>
      <c r="D185" s="137">
        <f>_o16</f>
        <v>0</v>
      </c>
      <c r="E185" s="138"/>
      <c r="F185" s="138"/>
    </row>
    <row r="186" spans="1:6" x14ac:dyDescent="0.3">
      <c r="A186" s="129"/>
    </row>
    <row r="187" spans="1:6" x14ac:dyDescent="0.3">
      <c r="A187" s="129"/>
      <c r="C187" s="139"/>
      <c r="D187" s="139" t="str">
        <f ca="1">' '!$A$168</f>
        <v>Description/Remarques</v>
      </c>
      <c r="E187" s="139"/>
      <c r="F187" s="139"/>
    </row>
    <row r="188" spans="1:6" x14ac:dyDescent="0.3">
      <c r="A188" s="129"/>
      <c r="C188" s="705"/>
      <c r="D188" s="705"/>
      <c r="E188" s="705"/>
      <c r="F188" s="705"/>
    </row>
    <row r="189" spans="1:6" x14ac:dyDescent="0.3">
      <c r="A189" s="129"/>
      <c r="C189" s="139"/>
      <c r="D189" s="139" t="str">
        <f ca="1">' '!$A$167</f>
        <v>Calcul</v>
      </c>
      <c r="E189" s="139"/>
      <c r="F189" s="139"/>
    </row>
    <row r="190" spans="1:6" x14ac:dyDescent="0.3">
      <c r="A190" s="129"/>
      <c r="C190" s="705"/>
      <c r="D190" s="705"/>
      <c r="E190" s="705" t="s">
        <v>375</v>
      </c>
      <c r="F190" s="705"/>
    </row>
    <row r="191" spans="1:6" x14ac:dyDescent="0.3">
      <c r="A191" s="129"/>
      <c r="C191" s="139"/>
      <c r="D191" s="140" t="str">
        <f ca="1">' '!$A$169</f>
        <v>Source</v>
      </c>
      <c r="E191" s="139" t="str">
        <f ca="1">' '!$A$170</f>
        <v>Moment de l'enquête &amp; Comparaison avec la branche</v>
      </c>
      <c r="F191" s="139"/>
    </row>
    <row r="192" spans="1:6" x14ac:dyDescent="0.3">
      <c r="A192" s="129"/>
      <c r="C192" s="706"/>
      <c r="D192" s="707"/>
      <c r="E192" s="706"/>
      <c r="F192" s="707"/>
    </row>
    <row r="193" spans="1:6" x14ac:dyDescent="0.3">
      <c r="A193" s="129"/>
      <c r="C193" s="706"/>
      <c r="D193" s="707"/>
      <c r="E193" s="706"/>
      <c r="F193" s="707"/>
    </row>
    <row r="194" spans="1:6" x14ac:dyDescent="0.3">
      <c r="A194" s="129"/>
      <c r="C194" s="706"/>
      <c r="D194" s="707"/>
      <c r="E194" s="706"/>
      <c r="F194" s="707"/>
    </row>
    <row r="195" spans="1:6" x14ac:dyDescent="0.3">
      <c r="A195" s="129"/>
      <c r="C195" s="139"/>
      <c r="D195" s="139"/>
      <c r="E195" s="139"/>
      <c r="F195" s="139"/>
    </row>
    <row r="196" spans="1:6" ht="15.6" x14ac:dyDescent="0.3">
      <c r="A196" s="129"/>
      <c r="D196" s="130"/>
    </row>
    <row r="197" spans="1:6" ht="24" customHeight="1" x14ac:dyDescent="0.3">
      <c r="A197" s="129"/>
      <c r="C197" s="136" t="s">
        <v>224</v>
      </c>
      <c r="D197" s="137">
        <f>_o17</f>
        <v>0</v>
      </c>
      <c r="E197" s="138"/>
      <c r="F197" s="138"/>
    </row>
    <row r="198" spans="1:6" x14ac:dyDescent="0.3">
      <c r="A198" s="129"/>
    </row>
    <row r="199" spans="1:6" x14ac:dyDescent="0.3">
      <c r="A199" s="129"/>
      <c r="C199" s="139"/>
      <c r="D199" s="139" t="str">
        <f ca="1">' '!$A$168</f>
        <v>Description/Remarques</v>
      </c>
      <c r="E199" s="139"/>
      <c r="F199" s="139"/>
    </row>
    <row r="200" spans="1:6" x14ac:dyDescent="0.3">
      <c r="A200" s="129"/>
      <c r="C200" s="705"/>
      <c r="D200" s="705"/>
      <c r="E200" s="705"/>
      <c r="F200" s="705"/>
    </row>
    <row r="201" spans="1:6" x14ac:dyDescent="0.3">
      <c r="A201" s="129"/>
      <c r="C201" s="139"/>
      <c r="D201" s="139" t="str">
        <f ca="1">' '!$A$167</f>
        <v>Calcul</v>
      </c>
      <c r="E201" s="139"/>
      <c r="F201" s="139"/>
    </row>
    <row r="202" spans="1:6" x14ac:dyDescent="0.3">
      <c r="A202" s="129"/>
      <c r="C202" s="705"/>
      <c r="D202" s="705"/>
      <c r="E202" s="705" t="s">
        <v>375</v>
      </c>
      <c r="F202" s="705"/>
    </row>
    <row r="203" spans="1:6" x14ac:dyDescent="0.3">
      <c r="A203" s="129"/>
      <c r="C203" s="139"/>
      <c r="D203" s="140" t="str">
        <f ca="1">' '!$A$169</f>
        <v>Source</v>
      </c>
      <c r="E203" s="139" t="str">
        <f ca="1">' '!$A$170</f>
        <v>Moment de l'enquête &amp; Comparaison avec la branche</v>
      </c>
      <c r="F203" s="139"/>
    </row>
    <row r="204" spans="1:6" x14ac:dyDescent="0.3">
      <c r="A204" s="129"/>
      <c r="C204" s="706"/>
      <c r="D204" s="707"/>
      <c r="E204" s="706"/>
      <c r="F204" s="707"/>
    </row>
    <row r="205" spans="1:6" x14ac:dyDescent="0.3">
      <c r="A205" s="129"/>
      <c r="C205" s="706"/>
      <c r="D205" s="707"/>
      <c r="E205" s="706"/>
      <c r="F205" s="707"/>
    </row>
    <row r="206" spans="1:6" x14ac:dyDescent="0.3">
      <c r="A206" s="129"/>
      <c r="C206" s="706"/>
      <c r="D206" s="707"/>
      <c r="E206" s="706"/>
      <c r="F206" s="707"/>
    </row>
    <row r="207" spans="1:6" x14ac:dyDescent="0.3">
      <c r="A207" s="129"/>
      <c r="C207" s="139"/>
      <c r="D207" s="139"/>
      <c r="E207" s="139"/>
      <c r="F207" s="139"/>
    </row>
    <row r="208" spans="1:6" ht="15.6" x14ac:dyDescent="0.3">
      <c r="A208" s="129"/>
      <c r="D208" s="130"/>
    </row>
    <row r="209" spans="1:6" ht="24" customHeight="1" x14ac:dyDescent="0.3">
      <c r="A209" s="129"/>
      <c r="C209" s="136" t="s">
        <v>225</v>
      </c>
      <c r="D209" s="137">
        <f>_o18</f>
        <v>0</v>
      </c>
      <c r="E209" s="138"/>
      <c r="F209" s="138"/>
    </row>
    <row r="210" spans="1:6" x14ac:dyDescent="0.3">
      <c r="A210" s="129"/>
    </row>
    <row r="211" spans="1:6" x14ac:dyDescent="0.3">
      <c r="A211" s="129"/>
      <c r="C211" s="139"/>
      <c r="D211" s="139" t="str">
        <f ca="1">' '!$A$168</f>
        <v>Description/Remarques</v>
      </c>
      <c r="E211" s="139"/>
      <c r="F211" s="139"/>
    </row>
    <row r="212" spans="1:6" x14ac:dyDescent="0.3">
      <c r="A212" s="129"/>
      <c r="C212" s="705"/>
      <c r="D212" s="705"/>
      <c r="E212" s="705"/>
      <c r="F212" s="705"/>
    </row>
    <row r="213" spans="1:6" x14ac:dyDescent="0.3">
      <c r="A213" s="129"/>
      <c r="C213" s="139"/>
      <c r="D213" s="139" t="str">
        <f ca="1">' '!$A$167</f>
        <v>Calcul</v>
      </c>
      <c r="E213" s="139"/>
      <c r="F213" s="139"/>
    </row>
    <row r="214" spans="1:6" x14ac:dyDescent="0.3">
      <c r="A214" s="129"/>
      <c r="C214" s="705"/>
      <c r="D214" s="705"/>
      <c r="E214" s="705" t="s">
        <v>375</v>
      </c>
      <c r="F214" s="705"/>
    </row>
    <row r="215" spans="1:6" x14ac:dyDescent="0.3">
      <c r="A215" s="129"/>
      <c r="C215" s="139"/>
      <c r="D215" s="140" t="str">
        <f ca="1">' '!$A$169</f>
        <v>Source</v>
      </c>
      <c r="E215" s="139" t="str">
        <f ca="1">' '!$A$170</f>
        <v>Moment de l'enquête &amp; Comparaison avec la branche</v>
      </c>
      <c r="F215" s="139"/>
    </row>
    <row r="216" spans="1:6" x14ac:dyDescent="0.3">
      <c r="A216" s="129"/>
      <c r="C216" s="706"/>
      <c r="D216" s="707"/>
      <c r="E216" s="706"/>
      <c r="F216" s="707"/>
    </row>
    <row r="217" spans="1:6" x14ac:dyDescent="0.3">
      <c r="A217" s="129"/>
      <c r="C217" s="706"/>
      <c r="D217" s="707"/>
      <c r="E217" s="706"/>
      <c r="F217" s="707"/>
    </row>
    <row r="218" spans="1:6" x14ac:dyDescent="0.3">
      <c r="A218" s="129"/>
      <c r="C218" s="706"/>
      <c r="D218" s="707"/>
      <c r="E218" s="706"/>
      <c r="F218" s="707"/>
    </row>
    <row r="219" spans="1:6" x14ac:dyDescent="0.3">
      <c r="A219" s="129"/>
      <c r="C219" s="139"/>
      <c r="D219" s="139"/>
      <c r="E219" s="139"/>
      <c r="F219" s="139"/>
    </row>
    <row r="220" spans="1:6" ht="15.6" x14ac:dyDescent="0.3">
      <c r="A220" s="129"/>
      <c r="D220" s="130"/>
    </row>
    <row r="221" spans="1:6" ht="24" customHeight="1" x14ac:dyDescent="0.3">
      <c r="A221" s="129"/>
      <c r="C221" s="136" t="s">
        <v>293</v>
      </c>
      <c r="D221" s="137">
        <f>_o19</f>
        <v>0</v>
      </c>
      <c r="E221" s="138"/>
      <c r="F221" s="138"/>
    </row>
    <row r="222" spans="1:6" x14ac:dyDescent="0.3">
      <c r="A222" s="129"/>
    </row>
    <row r="223" spans="1:6" x14ac:dyDescent="0.3">
      <c r="A223" s="129"/>
      <c r="C223" s="139"/>
      <c r="D223" s="139" t="str">
        <f ca="1">' '!$A$168</f>
        <v>Description/Remarques</v>
      </c>
      <c r="E223" s="139"/>
      <c r="F223" s="139"/>
    </row>
    <row r="224" spans="1:6" x14ac:dyDescent="0.3">
      <c r="A224" s="129"/>
      <c r="C224" s="705"/>
      <c r="D224" s="705"/>
      <c r="E224" s="705"/>
      <c r="F224" s="705"/>
    </row>
    <row r="225" spans="1:6" x14ac:dyDescent="0.3">
      <c r="A225" s="129"/>
      <c r="C225" s="139"/>
      <c r="D225" s="139" t="str">
        <f ca="1">' '!$A$167</f>
        <v>Calcul</v>
      </c>
      <c r="E225" s="139"/>
      <c r="F225" s="139"/>
    </row>
    <row r="226" spans="1:6" x14ac:dyDescent="0.3">
      <c r="A226" s="129"/>
      <c r="C226" s="705"/>
      <c r="D226" s="705"/>
      <c r="E226" s="705" t="s">
        <v>375</v>
      </c>
      <c r="F226" s="705"/>
    </row>
    <row r="227" spans="1:6" x14ac:dyDescent="0.3">
      <c r="A227" s="129"/>
      <c r="C227" s="139"/>
      <c r="D227" s="140" t="str">
        <f ca="1">' '!$A$169</f>
        <v>Source</v>
      </c>
      <c r="E227" s="139" t="str">
        <f ca="1">' '!$A$170</f>
        <v>Moment de l'enquête &amp; Comparaison avec la branche</v>
      </c>
      <c r="F227" s="139"/>
    </row>
    <row r="228" spans="1:6" x14ac:dyDescent="0.3">
      <c r="A228" s="129"/>
      <c r="C228" s="706"/>
      <c r="D228" s="707"/>
      <c r="E228" s="706"/>
      <c r="F228" s="707"/>
    </row>
    <row r="229" spans="1:6" x14ac:dyDescent="0.3">
      <c r="A229" s="129"/>
      <c r="C229" s="706"/>
      <c r="D229" s="707"/>
      <c r="E229" s="706"/>
      <c r="F229" s="707"/>
    </row>
    <row r="230" spans="1:6" x14ac:dyDescent="0.3">
      <c r="A230" s="129"/>
      <c r="C230" s="706"/>
      <c r="D230" s="707"/>
      <c r="E230" s="706"/>
      <c r="F230" s="707"/>
    </row>
    <row r="231" spans="1:6" x14ac:dyDescent="0.3">
      <c r="A231" s="129"/>
      <c r="C231" s="139"/>
      <c r="D231" s="139"/>
      <c r="E231" s="139"/>
      <c r="F231" s="139"/>
    </row>
    <row r="232" spans="1:6" ht="15.6" x14ac:dyDescent="0.3">
      <c r="A232" s="129"/>
      <c r="D232" s="130"/>
    </row>
    <row r="233" spans="1:6" ht="24" customHeight="1" x14ac:dyDescent="0.3">
      <c r="A233" s="129"/>
      <c r="C233" s="136" t="s">
        <v>294</v>
      </c>
      <c r="D233" s="137">
        <f>_o20</f>
        <v>0</v>
      </c>
      <c r="E233" s="138"/>
      <c r="F233" s="138"/>
    </row>
    <row r="234" spans="1:6" x14ac:dyDescent="0.3">
      <c r="A234" s="129"/>
    </row>
    <row r="235" spans="1:6" x14ac:dyDescent="0.3">
      <c r="A235" s="129"/>
      <c r="C235" s="139"/>
      <c r="D235" s="139" t="str">
        <f ca="1">' '!$A$168</f>
        <v>Description/Remarques</v>
      </c>
      <c r="E235" s="139"/>
      <c r="F235" s="139"/>
    </row>
    <row r="236" spans="1:6" x14ac:dyDescent="0.3">
      <c r="A236" s="129"/>
      <c r="C236" s="705"/>
      <c r="D236" s="705"/>
      <c r="E236" s="705"/>
      <c r="F236" s="705"/>
    </row>
    <row r="237" spans="1:6" x14ac:dyDescent="0.3">
      <c r="A237" s="129"/>
      <c r="C237" s="139"/>
      <c r="D237" s="139" t="str">
        <f ca="1">' '!$A$167</f>
        <v>Calcul</v>
      </c>
      <c r="E237" s="139"/>
      <c r="F237" s="139"/>
    </row>
    <row r="238" spans="1:6" x14ac:dyDescent="0.3">
      <c r="A238" s="129"/>
      <c r="C238" s="705"/>
      <c r="D238" s="705"/>
      <c r="E238" s="705" t="s">
        <v>375</v>
      </c>
      <c r="F238" s="705"/>
    </row>
    <row r="239" spans="1:6" x14ac:dyDescent="0.3">
      <c r="A239" s="129"/>
      <c r="C239" s="139"/>
      <c r="D239" s="140" t="str">
        <f ca="1">' '!$A$169</f>
        <v>Source</v>
      </c>
      <c r="E239" s="139" t="str">
        <f ca="1">' '!$A$170</f>
        <v>Moment de l'enquête &amp; Comparaison avec la branche</v>
      </c>
      <c r="F239" s="139"/>
    </row>
    <row r="240" spans="1:6" x14ac:dyDescent="0.3">
      <c r="A240" s="129"/>
      <c r="C240" s="706"/>
      <c r="D240" s="707"/>
      <c r="E240" s="706"/>
      <c r="F240" s="707"/>
    </row>
    <row r="241" spans="1:6" x14ac:dyDescent="0.3">
      <c r="A241" s="129"/>
      <c r="C241" s="706"/>
      <c r="D241" s="707"/>
      <c r="E241" s="706"/>
      <c r="F241" s="707"/>
    </row>
    <row r="242" spans="1:6" x14ac:dyDescent="0.3">
      <c r="A242" s="129"/>
      <c r="C242" s="706"/>
      <c r="D242" s="707"/>
      <c r="E242" s="706"/>
      <c r="F242" s="707"/>
    </row>
    <row r="243" spans="1:6" x14ac:dyDescent="0.3">
      <c r="A243" s="129"/>
      <c r="C243" s="139"/>
      <c r="D243" s="139"/>
      <c r="E243" s="139"/>
      <c r="F243" s="139"/>
    </row>
    <row r="244" spans="1:6" ht="15.6" x14ac:dyDescent="0.3">
      <c r="A244" s="129"/>
      <c r="D244" s="130"/>
    </row>
    <row r="245" spans="1:6" ht="24" customHeight="1" x14ac:dyDescent="0.3">
      <c r="A245" s="129"/>
      <c r="C245" s="136" t="s">
        <v>295</v>
      </c>
      <c r="D245" s="137">
        <f>_o21</f>
        <v>0</v>
      </c>
      <c r="E245" s="138"/>
      <c r="F245" s="138"/>
    </row>
    <row r="246" spans="1:6" x14ac:dyDescent="0.3">
      <c r="A246" s="129"/>
    </row>
    <row r="247" spans="1:6" x14ac:dyDescent="0.3">
      <c r="A247" s="129"/>
      <c r="C247" s="139"/>
      <c r="D247" s="139" t="str">
        <f ca="1">' '!$A$168</f>
        <v>Description/Remarques</v>
      </c>
      <c r="E247" s="139"/>
      <c r="F247" s="139"/>
    </row>
    <row r="248" spans="1:6" x14ac:dyDescent="0.3">
      <c r="A248" s="129"/>
      <c r="C248" s="705"/>
      <c r="D248" s="705"/>
      <c r="E248" s="705"/>
      <c r="F248" s="705"/>
    </row>
    <row r="249" spans="1:6" x14ac:dyDescent="0.3">
      <c r="A249" s="129"/>
      <c r="C249" s="139"/>
      <c r="D249" s="139" t="str">
        <f ca="1">' '!$A$167</f>
        <v>Calcul</v>
      </c>
      <c r="E249" s="139"/>
      <c r="F249" s="139"/>
    </row>
    <row r="250" spans="1:6" x14ac:dyDescent="0.3">
      <c r="A250" s="129"/>
      <c r="C250" s="705"/>
      <c r="D250" s="705"/>
      <c r="E250" s="705" t="s">
        <v>375</v>
      </c>
      <c r="F250" s="705"/>
    </row>
    <row r="251" spans="1:6" x14ac:dyDescent="0.3">
      <c r="A251" s="129"/>
      <c r="C251" s="139"/>
      <c r="D251" s="140" t="str">
        <f ca="1">' '!$A$169</f>
        <v>Source</v>
      </c>
      <c r="E251" s="139" t="str">
        <f ca="1">' '!$A$170</f>
        <v>Moment de l'enquête &amp; Comparaison avec la branche</v>
      </c>
      <c r="F251" s="139"/>
    </row>
    <row r="252" spans="1:6" x14ac:dyDescent="0.3">
      <c r="A252" s="129"/>
      <c r="C252" s="706"/>
      <c r="D252" s="707"/>
      <c r="E252" s="706"/>
      <c r="F252" s="707"/>
    </row>
    <row r="253" spans="1:6" x14ac:dyDescent="0.3">
      <c r="A253" s="129"/>
      <c r="C253" s="706"/>
      <c r="D253" s="707"/>
      <c r="E253" s="706"/>
      <c r="F253" s="707"/>
    </row>
    <row r="254" spans="1:6" x14ac:dyDescent="0.3">
      <c r="A254" s="129"/>
      <c r="C254" s="706"/>
      <c r="D254" s="707"/>
      <c r="E254" s="706"/>
      <c r="F254" s="707"/>
    </row>
    <row r="255" spans="1:6" x14ac:dyDescent="0.3">
      <c r="A255" s="129"/>
      <c r="C255" s="139"/>
      <c r="D255" s="139"/>
      <c r="E255" s="139"/>
      <c r="F255" s="139"/>
    </row>
    <row r="256" spans="1:6" ht="15.6" x14ac:dyDescent="0.3">
      <c r="A256" s="129"/>
      <c r="D256" s="130"/>
    </row>
    <row r="257" spans="1:6" ht="24" customHeight="1" x14ac:dyDescent="0.3">
      <c r="A257" s="129"/>
      <c r="C257" s="136" t="s">
        <v>296</v>
      </c>
      <c r="D257" s="137">
        <f>_o22</f>
        <v>0</v>
      </c>
      <c r="E257" s="138"/>
      <c r="F257" s="138"/>
    </row>
    <row r="258" spans="1:6" x14ac:dyDescent="0.3">
      <c r="A258" s="129"/>
    </row>
    <row r="259" spans="1:6" x14ac:dyDescent="0.3">
      <c r="A259" s="129"/>
      <c r="C259" s="139"/>
      <c r="D259" s="139" t="str">
        <f ca="1">' '!$A$168</f>
        <v>Description/Remarques</v>
      </c>
      <c r="E259" s="139"/>
      <c r="F259" s="139"/>
    </row>
    <row r="260" spans="1:6" x14ac:dyDescent="0.3">
      <c r="A260" s="129"/>
      <c r="C260" s="705"/>
      <c r="D260" s="705"/>
      <c r="E260" s="705"/>
      <c r="F260" s="705"/>
    </row>
    <row r="261" spans="1:6" x14ac:dyDescent="0.3">
      <c r="A261" s="129"/>
      <c r="C261" s="139"/>
      <c r="D261" s="139" t="str">
        <f ca="1">' '!$A$167</f>
        <v>Calcul</v>
      </c>
      <c r="E261" s="139"/>
      <c r="F261" s="139"/>
    </row>
    <row r="262" spans="1:6" x14ac:dyDescent="0.3">
      <c r="A262" s="129"/>
      <c r="C262" s="705"/>
      <c r="D262" s="705"/>
      <c r="E262" s="705" t="s">
        <v>375</v>
      </c>
      <c r="F262" s="705"/>
    </row>
    <row r="263" spans="1:6" x14ac:dyDescent="0.3">
      <c r="A263" s="129"/>
      <c r="C263" s="139"/>
      <c r="D263" s="140" t="str">
        <f ca="1">' '!$A$169</f>
        <v>Source</v>
      </c>
      <c r="E263" s="139" t="str">
        <f ca="1">' '!$A$170</f>
        <v>Moment de l'enquête &amp; Comparaison avec la branche</v>
      </c>
      <c r="F263" s="139"/>
    </row>
    <row r="264" spans="1:6" x14ac:dyDescent="0.3">
      <c r="A264" s="129"/>
      <c r="C264" s="706"/>
      <c r="D264" s="707"/>
      <c r="E264" s="706"/>
      <c r="F264" s="707"/>
    </row>
    <row r="265" spans="1:6" x14ac:dyDescent="0.3">
      <c r="A265" s="129"/>
      <c r="C265" s="706"/>
      <c r="D265" s="707"/>
      <c r="E265" s="706"/>
      <c r="F265" s="707"/>
    </row>
    <row r="266" spans="1:6" x14ac:dyDescent="0.3">
      <c r="A266" s="129"/>
      <c r="C266" s="706"/>
      <c r="D266" s="707"/>
      <c r="E266" s="706"/>
      <c r="F266" s="707"/>
    </row>
    <row r="267" spans="1:6" x14ac:dyDescent="0.3">
      <c r="A267" s="129"/>
      <c r="C267" s="139"/>
      <c r="D267" s="139"/>
      <c r="E267" s="139"/>
      <c r="F267" s="139"/>
    </row>
    <row r="268" spans="1:6" ht="15.6" x14ac:dyDescent="0.3">
      <c r="A268" s="129"/>
      <c r="D268" s="130"/>
    </row>
    <row r="269" spans="1:6" ht="24" customHeight="1" x14ac:dyDescent="0.3">
      <c r="A269" s="129"/>
      <c r="C269" s="136" t="s">
        <v>297</v>
      </c>
      <c r="D269" s="137">
        <f>_o23</f>
        <v>0</v>
      </c>
      <c r="E269" s="138"/>
      <c r="F269" s="138"/>
    </row>
    <row r="270" spans="1:6" x14ac:dyDescent="0.3">
      <c r="A270" s="129"/>
    </row>
    <row r="271" spans="1:6" x14ac:dyDescent="0.3">
      <c r="A271" s="129"/>
      <c r="C271" s="139"/>
      <c r="D271" s="139" t="str">
        <f ca="1">' '!$A$168</f>
        <v>Description/Remarques</v>
      </c>
      <c r="E271" s="139"/>
      <c r="F271" s="139"/>
    </row>
    <row r="272" spans="1:6" x14ac:dyDescent="0.3">
      <c r="A272" s="129"/>
      <c r="C272" s="705"/>
      <c r="D272" s="705"/>
      <c r="E272" s="705"/>
      <c r="F272" s="705"/>
    </row>
    <row r="273" spans="1:6" x14ac:dyDescent="0.3">
      <c r="A273" s="129"/>
      <c r="C273" s="139"/>
      <c r="D273" s="139" t="str">
        <f ca="1">' '!$A$167</f>
        <v>Calcul</v>
      </c>
      <c r="E273" s="139"/>
      <c r="F273" s="139"/>
    </row>
    <row r="274" spans="1:6" x14ac:dyDescent="0.3">
      <c r="A274" s="129"/>
      <c r="C274" s="705"/>
      <c r="D274" s="705"/>
      <c r="E274" s="705" t="s">
        <v>375</v>
      </c>
      <c r="F274" s="705"/>
    </row>
    <row r="275" spans="1:6" x14ac:dyDescent="0.3">
      <c r="A275" s="129"/>
      <c r="C275" s="139"/>
      <c r="D275" s="140" t="str">
        <f ca="1">' '!$A$169</f>
        <v>Source</v>
      </c>
      <c r="E275" s="139" t="str">
        <f ca="1">' '!$A$170</f>
        <v>Moment de l'enquête &amp; Comparaison avec la branche</v>
      </c>
      <c r="F275" s="139"/>
    </row>
    <row r="276" spans="1:6" x14ac:dyDescent="0.3">
      <c r="A276" s="129"/>
      <c r="C276" s="706"/>
      <c r="D276" s="707"/>
      <c r="E276" s="706"/>
      <c r="F276" s="707"/>
    </row>
    <row r="277" spans="1:6" x14ac:dyDescent="0.3">
      <c r="A277" s="129"/>
      <c r="C277" s="706"/>
      <c r="D277" s="707"/>
      <c r="E277" s="706"/>
      <c r="F277" s="707"/>
    </row>
    <row r="278" spans="1:6" x14ac:dyDescent="0.3">
      <c r="A278" s="129"/>
      <c r="C278" s="706"/>
      <c r="D278" s="707"/>
      <c r="E278" s="706"/>
      <c r="F278" s="707"/>
    </row>
    <row r="279" spans="1:6" x14ac:dyDescent="0.3">
      <c r="A279" s="129"/>
      <c r="C279" s="139"/>
      <c r="D279" s="139"/>
      <c r="E279" s="139"/>
      <c r="F279" s="139"/>
    </row>
    <row r="280" spans="1:6" ht="15.6" x14ac:dyDescent="0.3">
      <c r="A280" s="129"/>
      <c r="D280" s="130"/>
    </row>
    <row r="281" spans="1:6" ht="24" customHeight="1" x14ac:dyDescent="0.3">
      <c r="A281" s="129"/>
      <c r="C281" s="136" t="s">
        <v>298</v>
      </c>
      <c r="D281" s="137">
        <f>_o24</f>
        <v>0</v>
      </c>
      <c r="E281" s="138"/>
      <c r="F281" s="138"/>
    </row>
    <row r="282" spans="1:6" x14ac:dyDescent="0.3">
      <c r="A282" s="129"/>
    </row>
    <row r="283" spans="1:6" x14ac:dyDescent="0.3">
      <c r="A283" s="129"/>
      <c r="C283" s="139"/>
      <c r="D283" s="139" t="str">
        <f ca="1">' '!$A$168</f>
        <v>Description/Remarques</v>
      </c>
      <c r="E283" s="139"/>
      <c r="F283" s="139"/>
    </row>
    <row r="284" spans="1:6" x14ac:dyDescent="0.3">
      <c r="A284" s="129"/>
      <c r="C284" s="705"/>
      <c r="D284" s="705"/>
      <c r="E284" s="705"/>
      <c r="F284" s="705"/>
    </row>
    <row r="285" spans="1:6" x14ac:dyDescent="0.3">
      <c r="A285" s="129"/>
      <c r="C285" s="139"/>
      <c r="D285" s="139" t="str">
        <f ca="1">' '!$A$167</f>
        <v>Calcul</v>
      </c>
      <c r="E285" s="139"/>
      <c r="F285" s="139"/>
    </row>
    <row r="286" spans="1:6" x14ac:dyDescent="0.3">
      <c r="A286" s="129"/>
      <c r="C286" s="705"/>
      <c r="D286" s="705"/>
      <c r="E286" s="705" t="s">
        <v>375</v>
      </c>
      <c r="F286" s="705"/>
    </row>
    <row r="287" spans="1:6" x14ac:dyDescent="0.3">
      <c r="A287" s="129"/>
      <c r="C287" s="139"/>
      <c r="D287" s="140" t="str">
        <f ca="1">' '!$A$169</f>
        <v>Source</v>
      </c>
      <c r="E287" s="139" t="str">
        <f ca="1">' '!$A$170</f>
        <v>Moment de l'enquête &amp; Comparaison avec la branche</v>
      </c>
      <c r="F287" s="139"/>
    </row>
    <row r="288" spans="1:6" x14ac:dyDescent="0.3">
      <c r="A288" s="129"/>
      <c r="C288" s="706"/>
      <c r="D288" s="707"/>
      <c r="E288" s="706"/>
      <c r="F288" s="707"/>
    </row>
    <row r="289" spans="1:6" x14ac:dyDescent="0.3">
      <c r="A289" s="129"/>
      <c r="C289" s="706"/>
      <c r="D289" s="707"/>
      <c r="E289" s="706"/>
      <c r="F289" s="707"/>
    </row>
    <row r="290" spans="1:6" x14ac:dyDescent="0.3">
      <c r="A290" s="129"/>
      <c r="C290" s="706"/>
      <c r="D290" s="707"/>
      <c r="E290" s="706"/>
      <c r="F290" s="707"/>
    </row>
    <row r="291" spans="1:6" x14ac:dyDescent="0.3">
      <c r="A291" s="129"/>
      <c r="C291" s="139"/>
      <c r="D291" s="139"/>
      <c r="E291" s="139"/>
      <c r="F291" s="139"/>
    </row>
    <row r="292" spans="1:6" ht="15.6" x14ac:dyDescent="0.3">
      <c r="A292" s="129"/>
      <c r="D292" s="130"/>
    </row>
    <row r="293" spans="1:6" ht="24" customHeight="1" x14ac:dyDescent="0.3">
      <c r="A293" s="129"/>
      <c r="C293" s="136" t="s">
        <v>299</v>
      </c>
      <c r="D293" s="137">
        <f>_o25</f>
        <v>0</v>
      </c>
      <c r="E293" s="138"/>
      <c r="F293" s="138"/>
    </row>
    <row r="294" spans="1:6" x14ac:dyDescent="0.3">
      <c r="A294" s="129"/>
    </row>
    <row r="295" spans="1:6" x14ac:dyDescent="0.3">
      <c r="A295" s="129"/>
      <c r="C295" s="139"/>
      <c r="D295" s="139" t="str">
        <f ca="1">' '!$A$168</f>
        <v>Description/Remarques</v>
      </c>
      <c r="E295" s="139"/>
      <c r="F295" s="139"/>
    </row>
    <row r="296" spans="1:6" x14ac:dyDescent="0.3">
      <c r="A296" s="129"/>
      <c r="C296" s="705"/>
      <c r="D296" s="705"/>
      <c r="E296" s="705"/>
      <c r="F296" s="705"/>
    </row>
    <row r="297" spans="1:6" x14ac:dyDescent="0.3">
      <c r="A297" s="129"/>
      <c r="C297" s="139"/>
      <c r="D297" s="139" t="str">
        <f ca="1">' '!$A$167</f>
        <v>Calcul</v>
      </c>
      <c r="E297" s="139"/>
      <c r="F297" s="139"/>
    </row>
    <row r="298" spans="1:6" x14ac:dyDescent="0.3">
      <c r="A298" s="129"/>
      <c r="C298" s="705"/>
      <c r="D298" s="705"/>
      <c r="E298" s="705" t="s">
        <v>375</v>
      </c>
      <c r="F298" s="705"/>
    </row>
    <row r="299" spans="1:6" x14ac:dyDescent="0.3">
      <c r="A299" s="129"/>
      <c r="C299" s="139"/>
      <c r="D299" s="140" t="str">
        <f ca="1">' '!$A$169</f>
        <v>Source</v>
      </c>
      <c r="E299" s="139" t="str">
        <f ca="1">' '!$A$170</f>
        <v>Moment de l'enquête &amp; Comparaison avec la branche</v>
      </c>
      <c r="F299" s="139"/>
    </row>
    <row r="300" spans="1:6" x14ac:dyDescent="0.3">
      <c r="A300" s="129"/>
      <c r="C300" s="706"/>
      <c r="D300" s="707"/>
      <c r="E300" s="706"/>
      <c r="F300" s="707"/>
    </row>
    <row r="301" spans="1:6" x14ac:dyDescent="0.3">
      <c r="A301" s="129"/>
      <c r="C301" s="706"/>
      <c r="D301" s="707"/>
      <c r="E301" s="706"/>
      <c r="F301" s="707"/>
    </row>
    <row r="302" spans="1:6" x14ac:dyDescent="0.3">
      <c r="A302" s="129"/>
      <c r="C302" s="706"/>
      <c r="D302" s="707"/>
      <c r="E302" s="706"/>
      <c r="F302" s="707"/>
    </row>
    <row r="303" spans="1:6" x14ac:dyDescent="0.3">
      <c r="A303" s="129"/>
      <c r="C303" s="139"/>
      <c r="D303" s="139"/>
      <c r="E303" s="139"/>
      <c r="F303" s="139"/>
    </row>
    <row r="304" spans="1:6" ht="15.6" x14ac:dyDescent="0.3">
      <c r="A304" s="129"/>
      <c r="D304" s="130"/>
    </row>
    <row r="305" spans="1:6" ht="24" customHeight="1" x14ac:dyDescent="0.3">
      <c r="A305" s="129"/>
      <c r="C305" s="136" t="s">
        <v>300</v>
      </c>
      <c r="D305" s="137">
        <f>_o26</f>
        <v>0</v>
      </c>
      <c r="E305" s="138"/>
      <c r="F305" s="138"/>
    </row>
    <row r="306" spans="1:6" x14ac:dyDescent="0.3">
      <c r="A306" s="129"/>
    </row>
    <row r="307" spans="1:6" x14ac:dyDescent="0.3">
      <c r="A307" s="129"/>
      <c r="C307" s="139"/>
      <c r="D307" s="139" t="str">
        <f ca="1">' '!$A$168</f>
        <v>Description/Remarques</v>
      </c>
      <c r="E307" s="139"/>
      <c r="F307" s="139"/>
    </row>
    <row r="308" spans="1:6" x14ac:dyDescent="0.3">
      <c r="A308" s="129"/>
      <c r="C308" s="705"/>
      <c r="D308" s="705"/>
      <c r="E308" s="705"/>
      <c r="F308" s="705"/>
    </row>
    <row r="309" spans="1:6" x14ac:dyDescent="0.3">
      <c r="A309" s="129"/>
      <c r="C309" s="139"/>
      <c r="D309" s="139" t="str">
        <f ca="1">' '!$A$167</f>
        <v>Calcul</v>
      </c>
      <c r="E309" s="139"/>
      <c r="F309" s="139"/>
    </row>
    <row r="310" spans="1:6" x14ac:dyDescent="0.3">
      <c r="A310" s="129"/>
      <c r="C310" s="705"/>
      <c r="D310" s="705"/>
      <c r="E310" s="705" t="s">
        <v>375</v>
      </c>
      <c r="F310" s="705"/>
    </row>
    <row r="311" spans="1:6" x14ac:dyDescent="0.3">
      <c r="A311" s="129"/>
      <c r="C311" s="139"/>
      <c r="D311" s="140" t="str">
        <f ca="1">' '!$A$169</f>
        <v>Source</v>
      </c>
      <c r="E311" s="139" t="str">
        <f ca="1">' '!$A$170</f>
        <v>Moment de l'enquête &amp; Comparaison avec la branche</v>
      </c>
      <c r="F311" s="139"/>
    </row>
    <row r="312" spans="1:6" x14ac:dyDescent="0.3">
      <c r="A312" s="129"/>
      <c r="C312" s="706"/>
      <c r="D312" s="707"/>
      <c r="E312" s="706"/>
      <c r="F312" s="707"/>
    </row>
    <row r="313" spans="1:6" x14ac:dyDescent="0.3">
      <c r="A313" s="129"/>
      <c r="C313" s="706"/>
      <c r="D313" s="707"/>
      <c r="E313" s="706"/>
      <c r="F313" s="707"/>
    </row>
    <row r="314" spans="1:6" x14ac:dyDescent="0.3">
      <c r="A314" s="129"/>
      <c r="C314" s="706"/>
      <c r="D314" s="707"/>
      <c r="E314" s="706"/>
      <c r="F314" s="707"/>
    </row>
    <row r="315" spans="1:6" x14ac:dyDescent="0.3">
      <c r="A315" s="129"/>
      <c r="C315" s="139"/>
      <c r="D315" s="139"/>
      <c r="E315" s="139"/>
      <c r="F315" s="139"/>
    </row>
    <row r="316" spans="1:6" ht="15.6" x14ac:dyDescent="0.3">
      <c r="A316" s="129"/>
      <c r="D316" s="130"/>
    </row>
    <row r="317" spans="1:6" ht="24" customHeight="1" x14ac:dyDescent="0.3">
      <c r="A317" s="129"/>
      <c r="C317" s="136" t="s">
        <v>301</v>
      </c>
      <c r="D317" s="137">
        <f>_o27</f>
        <v>0</v>
      </c>
      <c r="E317" s="138"/>
      <c r="F317" s="138"/>
    </row>
    <row r="318" spans="1:6" x14ac:dyDescent="0.3">
      <c r="A318" s="129"/>
    </row>
    <row r="319" spans="1:6" x14ac:dyDescent="0.3">
      <c r="A319" s="129"/>
      <c r="C319" s="139"/>
      <c r="D319" s="139" t="str">
        <f ca="1">' '!$A$168</f>
        <v>Description/Remarques</v>
      </c>
      <c r="E319" s="139"/>
      <c r="F319" s="139"/>
    </row>
    <row r="320" spans="1:6" x14ac:dyDescent="0.3">
      <c r="A320" s="129"/>
      <c r="C320" s="705"/>
      <c r="D320" s="705"/>
      <c r="E320" s="705"/>
      <c r="F320" s="705"/>
    </row>
    <row r="321" spans="1:6" x14ac:dyDescent="0.3">
      <c r="A321" s="129"/>
      <c r="C321" s="139"/>
      <c r="D321" s="139" t="str">
        <f ca="1">' '!$A$167</f>
        <v>Calcul</v>
      </c>
      <c r="E321" s="139"/>
      <c r="F321" s="139"/>
    </row>
    <row r="322" spans="1:6" x14ac:dyDescent="0.3">
      <c r="A322" s="129"/>
      <c r="C322" s="705"/>
      <c r="D322" s="705"/>
      <c r="E322" s="705" t="s">
        <v>375</v>
      </c>
      <c r="F322" s="705"/>
    </row>
    <row r="323" spans="1:6" x14ac:dyDescent="0.3">
      <c r="A323" s="129"/>
      <c r="C323" s="139"/>
      <c r="D323" s="140" t="str">
        <f ca="1">' '!$A$169</f>
        <v>Source</v>
      </c>
      <c r="E323" s="139" t="str">
        <f ca="1">' '!$A$170</f>
        <v>Moment de l'enquête &amp; Comparaison avec la branche</v>
      </c>
      <c r="F323" s="139"/>
    </row>
    <row r="324" spans="1:6" x14ac:dyDescent="0.3">
      <c r="A324" s="129"/>
      <c r="C324" s="706"/>
      <c r="D324" s="707"/>
      <c r="E324" s="706"/>
      <c r="F324" s="707"/>
    </row>
    <row r="325" spans="1:6" x14ac:dyDescent="0.3">
      <c r="A325" s="129"/>
      <c r="C325" s="706"/>
      <c r="D325" s="707"/>
      <c r="E325" s="706"/>
      <c r="F325" s="707"/>
    </row>
    <row r="326" spans="1:6" x14ac:dyDescent="0.3">
      <c r="A326" s="129"/>
      <c r="C326" s="706"/>
      <c r="D326" s="707"/>
      <c r="E326" s="706"/>
      <c r="F326" s="707"/>
    </row>
    <row r="327" spans="1:6" x14ac:dyDescent="0.3">
      <c r="A327" s="129"/>
      <c r="C327" s="139"/>
      <c r="D327" s="139"/>
      <c r="E327" s="139"/>
      <c r="F327" s="139"/>
    </row>
    <row r="328" spans="1:6" ht="15.6" x14ac:dyDescent="0.3">
      <c r="A328" s="129"/>
      <c r="D328" s="130"/>
    </row>
    <row r="329" spans="1:6" ht="24" customHeight="1" x14ac:dyDescent="0.3">
      <c r="A329" s="129"/>
      <c r="C329" s="136" t="s">
        <v>302</v>
      </c>
      <c r="D329" s="137">
        <f>_o28</f>
        <v>0</v>
      </c>
      <c r="E329" s="138"/>
      <c r="F329" s="138"/>
    </row>
    <row r="330" spans="1:6" x14ac:dyDescent="0.3">
      <c r="A330" s="129"/>
    </row>
    <row r="331" spans="1:6" x14ac:dyDescent="0.3">
      <c r="A331" s="129"/>
      <c r="C331" s="139"/>
      <c r="D331" s="139" t="str">
        <f ca="1">' '!$A$168</f>
        <v>Description/Remarques</v>
      </c>
      <c r="E331" s="139"/>
      <c r="F331" s="139"/>
    </row>
    <row r="332" spans="1:6" x14ac:dyDescent="0.3">
      <c r="A332" s="129"/>
      <c r="C332" s="705"/>
      <c r="D332" s="705"/>
      <c r="E332" s="705"/>
      <c r="F332" s="705"/>
    </row>
    <row r="333" spans="1:6" x14ac:dyDescent="0.3">
      <c r="A333" s="129"/>
      <c r="C333" s="139"/>
      <c r="D333" s="139" t="str">
        <f ca="1">' '!$A$167</f>
        <v>Calcul</v>
      </c>
      <c r="E333" s="139"/>
      <c r="F333" s="139"/>
    </row>
    <row r="334" spans="1:6" x14ac:dyDescent="0.3">
      <c r="A334" s="129"/>
      <c r="C334" s="705"/>
      <c r="D334" s="705"/>
      <c r="E334" s="705" t="s">
        <v>375</v>
      </c>
      <c r="F334" s="705"/>
    </row>
    <row r="335" spans="1:6" x14ac:dyDescent="0.3">
      <c r="A335" s="129"/>
      <c r="C335" s="139"/>
      <c r="D335" s="140" t="str">
        <f ca="1">' '!$A$169</f>
        <v>Source</v>
      </c>
      <c r="E335" s="139" t="str">
        <f ca="1">' '!$A$170</f>
        <v>Moment de l'enquête &amp; Comparaison avec la branche</v>
      </c>
      <c r="F335" s="139"/>
    </row>
    <row r="336" spans="1:6" x14ac:dyDescent="0.3">
      <c r="A336" s="129"/>
      <c r="C336" s="706"/>
      <c r="D336" s="707"/>
      <c r="E336" s="706"/>
      <c r="F336" s="707"/>
    </row>
    <row r="337" spans="1:6" x14ac:dyDescent="0.3">
      <c r="A337" s="129"/>
      <c r="C337" s="706"/>
      <c r="D337" s="707"/>
      <c r="E337" s="706"/>
      <c r="F337" s="707"/>
    </row>
    <row r="338" spans="1:6" x14ac:dyDescent="0.3">
      <c r="A338" s="129"/>
      <c r="C338" s="706"/>
      <c r="D338" s="707"/>
      <c r="E338" s="706"/>
      <c r="F338" s="707"/>
    </row>
    <row r="339" spans="1:6" x14ac:dyDescent="0.3">
      <c r="A339" s="129"/>
      <c r="C339" s="139"/>
      <c r="D339" s="139"/>
      <c r="E339" s="139"/>
      <c r="F339" s="139"/>
    </row>
    <row r="340" spans="1:6" ht="15.6" x14ac:dyDescent="0.3">
      <c r="A340" s="129"/>
      <c r="D340" s="130"/>
    </row>
    <row r="341" spans="1:6" ht="24" customHeight="1" x14ac:dyDescent="0.3">
      <c r="A341" s="129"/>
      <c r="C341" s="136" t="s">
        <v>303</v>
      </c>
      <c r="D341" s="137">
        <f>_o29</f>
        <v>0</v>
      </c>
      <c r="E341" s="138"/>
      <c r="F341" s="138"/>
    </row>
    <row r="342" spans="1:6" x14ac:dyDescent="0.3">
      <c r="A342" s="129"/>
    </row>
    <row r="343" spans="1:6" x14ac:dyDescent="0.3">
      <c r="A343" s="129"/>
      <c r="C343" s="139"/>
      <c r="D343" s="139" t="str">
        <f ca="1">' '!$A$168</f>
        <v>Description/Remarques</v>
      </c>
      <c r="E343" s="139"/>
      <c r="F343" s="139"/>
    </row>
    <row r="344" spans="1:6" x14ac:dyDescent="0.3">
      <c r="A344" s="129"/>
      <c r="C344" s="705"/>
      <c r="D344" s="705"/>
      <c r="E344" s="705"/>
      <c r="F344" s="705"/>
    </row>
    <row r="345" spans="1:6" x14ac:dyDescent="0.3">
      <c r="A345" s="129"/>
      <c r="C345" s="139"/>
      <c r="D345" s="139" t="str">
        <f ca="1">' '!$A$167</f>
        <v>Calcul</v>
      </c>
      <c r="E345" s="139"/>
      <c r="F345" s="139"/>
    </row>
    <row r="346" spans="1:6" x14ac:dyDescent="0.3">
      <c r="A346" s="129"/>
      <c r="C346" s="705"/>
      <c r="D346" s="705"/>
      <c r="E346" s="705" t="s">
        <v>375</v>
      </c>
      <c r="F346" s="705"/>
    </row>
    <row r="347" spans="1:6" x14ac:dyDescent="0.3">
      <c r="A347" s="129"/>
      <c r="C347" s="139"/>
      <c r="D347" s="140" t="str">
        <f ca="1">' '!$A$169</f>
        <v>Source</v>
      </c>
      <c r="E347" s="139" t="str">
        <f ca="1">' '!$A$170</f>
        <v>Moment de l'enquête &amp; Comparaison avec la branche</v>
      </c>
      <c r="F347" s="139"/>
    </row>
    <row r="348" spans="1:6" x14ac:dyDescent="0.3">
      <c r="A348" s="129"/>
      <c r="C348" s="706"/>
      <c r="D348" s="707"/>
      <c r="E348" s="706"/>
      <c r="F348" s="707"/>
    </row>
    <row r="349" spans="1:6" x14ac:dyDescent="0.3">
      <c r="A349" s="129"/>
      <c r="C349" s="706"/>
      <c r="D349" s="707"/>
      <c r="E349" s="706"/>
      <c r="F349" s="707"/>
    </row>
    <row r="350" spans="1:6" x14ac:dyDescent="0.3">
      <c r="A350" s="129"/>
      <c r="C350" s="706"/>
      <c r="D350" s="707"/>
      <c r="E350" s="706"/>
      <c r="F350" s="707"/>
    </row>
    <row r="351" spans="1:6" x14ac:dyDescent="0.3">
      <c r="A351" s="129"/>
      <c r="C351" s="139"/>
      <c r="D351" s="139"/>
      <c r="E351" s="139"/>
      <c r="F351" s="139"/>
    </row>
    <row r="352" spans="1:6" ht="15.6" x14ac:dyDescent="0.3">
      <c r="A352" s="129"/>
      <c r="D352" s="130"/>
    </row>
    <row r="353" spans="1:6" ht="24" customHeight="1" x14ac:dyDescent="0.3">
      <c r="A353" s="129"/>
      <c r="C353" s="136" t="s">
        <v>304</v>
      </c>
      <c r="D353" s="137">
        <f>_o30</f>
        <v>0</v>
      </c>
      <c r="E353" s="138"/>
      <c r="F353" s="138"/>
    </row>
    <row r="354" spans="1:6" x14ac:dyDescent="0.3">
      <c r="A354" s="129"/>
    </row>
    <row r="355" spans="1:6" x14ac:dyDescent="0.3">
      <c r="A355" s="129"/>
      <c r="C355" s="139"/>
      <c r="D355" s="139" t="str">
        <f ca="1">' '!$A$168</f>
        <v>Description/Remarques</v>
      </c>
      <c r="E355" s="139"/>
      <c r="F355" s="139"/>
    </row>
    <row r="356" spans="1:6" x14ac:dyDescent="0.3">
      <c r="A356" s="129"/>
      <c r="C356" s="705"/>
      <c r="D356" s="705"/>
      <c r="E356" s="705"/>
      <c r="F356" s="705"/>
    </row>
    <row r="357" spans="1:6" x14ac:dyDescent="0.3">
      <c r="A357" s="129"/>
      <c r="C357" s="139"/>
      <c r="D357" s="139" t="str">
        <f ca="1">' '!$A$167</f>
        <v>Calcul</v>
      </c>
      <c r="E357" s="139"/>
      <c r="F357" s="139"/>
    </row>
    <row r="358" spans="1:6" x14ac:dyDescent="0.3">
      <c r="A358" s="129"/>
      <c r="C358" s="705"/>
      <c r="D358" s="705"/>
      <c r="E358" s="705" t="s">
        <v>375</v>
      </c>
      <c r="F358" s="705"/>
    </row>
    <row r="359" spans="1:6" x14ac:dyDescent="0.3">
      <c r="A359" s="129"/>
      <c r="C359" s="139"/>
      <c r="D359" s="140" t="str">
        <f ca="1">' '!$A$169</f>
        <v>Source</v>
      </c>
      <c r="E359" s="139" t="str">
        <f ca="1">' '!$A$170</f>
        <v>Moment de l'enquête &amp; Comparaison avec la branche</v>
      </c>
      <c r="F359" s="139"/>
    </row>
    <row r="360" spans="1:6" x14ac:dyDescent="0.3">
      <c r="A360" s="129"/>
      <c r="C360" s="706"/>
      <c r="D360" s="707"/>
      <c r="E360" s="706"/>
      <c r="F360" s="707"/>
    </row>
    <row r="361" spans="1:6" x14ac:dyDescent="0.3">
      <c r="A361" s="129"/>
      <c r="C361" s="706"/>
      <c r="D361" s="707"/>
      <c r="E361" s="706"/>
      <c r="F361" s="707"/>
    </row>
    <row r="362" spans="1:6" x14ac:dyDescent="0.3">
      <c r="A362" s="129"/>
      <c r="C362" s="706"/>
      <c r="D362" s="707"/>
      <c r="E362" s="706"/>
      <c r="F362" s="707"/>
    </row>
    <row r="363" spans="1:6" x14ac:dyDescent="0.3">
      <c r="A363" s="129"/>
      <c r="C363" s="139"/>
      <c r="D363" s="139"/>
      <c r="E363" s="139"/>
      <c r="F363" s="139"/>
    </row>
    <row r="364" spans="1:6" ht="15.6" x14ac:dyDescent="0.3">
      <c r="A364" s="129"/>
      <c r="D364" s="130"/>
    </row>
    <row r="365" spans="1:6" ht="24" customHeight="1" x14ac:dyDescent="0.3">
      <c r="A365" s="129"/>
      <c r="C365" s="136" t="s">
        <v>305</v>
      </c>
      <c r="D365" s="137">
        <f>_o31</f>
        <v>0</v>
      </c>
      <c r="E365" s="138"/>
      <c r="F365" s="138"/>
    </row>
    <row r="366" spans="1:6" x14ac:dyDescent="0.3">
      <c r="A366" s="129"/>
    </row>
    <row r="367" spans="1:6" x14ac:dyDescent="0.3">
      <c r="A367" s="129"/>
      <c r="C367" s="139"/>
      <c r="D367" s="139" t="str">
        <f ca="1">' '!$A$168</f>
        <v>Description/Remarques</v>
      </c>
      <c r="E367" s="139"/>
      <c r="F367" s="139"/>
    </row>
    <row r="368" spans="1:6" x14ac:dyDescent="0.3">
      <c r="A368" s="129"/>
      <c r="C368" s="705"/>
      <c r="D368" s="705"/>
      <c r="E368" s="705"/>
      <c r="F368" s="705"/>
    </row>
    <row r="369" spans="1:6" x14ac:dyDescent="0.3">
      <c r="A369" s="129"/>
      <c r="C369" s="139"/>
      <c r="D369" s="139" t="str">
        <f ca="1">' '!$A$167</f>
        <v>Calcul</v>
      </c>
      <c r="E369" s="139"/>
      <c r="F369" s="139"/>
    </row>
    <row r="370" spans="1:6" x14ac:dyDescent="0.3">
      <c r="A370" s="129"/>
      <c r="C370" s="705"/>
      <c r="D370" s="705"/>
      <c r="E370" s="705" t="s">
        <v>375</v>
      </c>
      <c r="F370" s="705"/>
    </row>
    <row r="371" spans="1:6" x14ac:dyDescent="0.3">
      <c r="A371" s="129"/>
      <c r="C371" s="139"/>
      <c r="D371" s="140" t="str">
        <f ca="1">' '!$A$169</f>
        <v>Source</v>
      </c>
      <c r="E371" s="139" t="str">
        <f ca="1">' '!$A$170</f>
        <v>Moment de l'enquête &amp; Comparaison avec la branche</v>
      </c>
      <c r="F371" s="139"/>
    </row>
    <row r="372" spans="1:6" x14ac:dyDescent="0.3">
      <c r="A372" s="129"/>
      <c r="C372" s="706"/>
      <c r="D372" s="707"/>
      <c r="E372" s="706"/>
      <c r="F372" s="707"/>
    </row>
    <row r="373" spans="1:6" x14ac:dyDescent="0.3">
      <c r="A373" s="129"/>
      <c r="C373" s="706"/>
      <c r="D373" s="707"/>
      <c r="E373" s="706"/>
      <c r="F373" s="707"/>
    </row>
    <row r="374" spans="1:6" x14ac:dyDescent="0.3">
      <c r="A374" s="129"/>
      <c r="C374" s="706"/>
      <c r="D374" s="707"/>
      <c r="E374" s="706"/>
      <c r="F374" s="707"/>
    </row>
    <row r="375" spans="1:6" x14ac:dyDescent="0.3">
      <c r="A375" s="129"/>
      <c r="C375" s="139"/>
      <c r="D375" s="139"/>
      <c r="E375" s="139"/>
      <c r="F375" s="139"/>
    </row>
    <row r="376" spans="1:6" ht="15.6" x14ac:dyDescent="0.3">
      <c r="A376" s="129"/>
      <c r="D376" s="130"/>
    </row>
    <row r="377" spans="1:6" ht="24" customHeight="1" x14ac:dyDescent="0.3">
      <c r="A377" s="129"/>
      <c r="C377" s="136" t="s">
        <v>306</v>
      </c>
      <c r="D377" s="137">
        <f>_o32</f>
        <v>0</v>
      </c>
      <c r="E377" s="138"/>
      <c r="F377" s="138"/>
    </row>
    <row r="378" spans="1:6" x14ac:dyDescent="0.3">
      <c r="A378" s="129"/>
    </row>
    <row r="379" spans="1:6" x14ac:dyDescent="0.3">
      <c r="A379" s="129"/>
      <c r="C379" s="139"/>
      <c r="D379" s="139" t="str">
        <f ca="1">' '!$A$168</f>
        <v>Description/Remarques</v>
      </c>
      <c r="E379" s="139"/>
      <c r="F379" s="139"/>
    </row>
    <row r="380" spans="1:6" x14ac:dyDescent="0.3">
      <c r="A380" s="129"/>
      <c r="C380" s="705"/>
      <c r="D380" s="705"/>
      <c r="E380" s="705"/>
      <c r="F380" s="705"/>
    </row>
    <row r="381" spans="1:6" x14ac:dyDescent="0.3">
      <c r="A381" s="129"/>
      <c r="C381" s="139"/>
      <c r="D381" s="139" t="str">
        <f ca="1">' '!$A$167</f>
        <v>Calcul</v>
      </c>
      <c r="E381" s="139"/>
      <c r="F381" s="139"/>
    </row>
    <row r="382" spans="1:6" x14ac:dyDescent="0.3">
      <c r="A382" s="129"/>
      <c r="C382" s="705"/>
      <c r="D382" s="705"/>
      <c r="E382" s="705" t="s">
        <v>375</v>
      </c>
      <c r="F382" s="705"/>
    </row>
    <row r="383" spans="1:6" x14ac:dyDescent="0.3">
      <c r="A383" s="129"/>
      <c r="C383" s="139"/>
      <c r="D383" s="140" t="str">
        <f ca="1">' '!$A$169</f>
        <v>Source</v>
      </c>
      <c r="E383" s="139" t="str">
        <f ca="1">' '!$A$170</f>
        <v>Moment de l'enquête &amp; Comparaison avec la branche</v>
      </c>
      <c r="F383" s="139"/>
    </row>
    <row r="384" spans="1:6" x14ac:dyDescent="0.3">
      <c r="A384" s="129"/>
      <c r="C384" s="706"/>
      <c r="D384" s="707"/>
      <c r="E384" s="706"/>
      <c r="F384" s="707"/>
    </row>
    <row r="385" spans="1:6" x14ac:dyDescent="0.3">
      <c r="A385" s="129"/>
      <c r="C385" s="706"/>
      <c r="D385" s="707"/>
      <c r="E385" s="706"/>
      <c r="F385" s="707"/>
    </row>
    <row r="386" spans="1:6" x14ac:dyDescent="0.3">
      <c r="A386" s="129"/>
      <c r="C386" s="706"/>
      <c r="D386" s="707"/>
      <c r="E386" s="706"/>
      <c r="F386" s="707"/>
    </row>
    <row r="387" spans="1:6" x14ac:dyDescent="0.3">
      <c r="A387" s="129"/>
      <c r="C387" s="139"/>
      <c r="D387" s="139"/>
      <c r="E387" s="139"/>
      <c r="F387" s="139"/>
    </row>
    <row r="388" spans="1:6" ht="15.6" x14ac:dyDescent="0.3">
      <c r="A388" s="129"/>
      <c r="D388" s="130"/>
    </row>
    <row r="389" spans="1:6" ht="24" customHeight="1" x14ac:dyDescent="0.3">
      <c r="A389" s="129"/>
      <c r="C389" s="136" t="s">
        <v>307</v>
      </c>
      <c r="D389" s="137">
        <f>_o33</f>
        <v>0</v>
      </c>
      <c r="E389" s="138"/>
      <c r="F389" s="138"/>
    </row>
    <row r="390" spans="1:6" x14ac:dyDescent="0.3">
      <c r="A390" s="129"/>
    </row>
    <row r="391" spans="1:6" x14ac:dyDescent="0.3">
      <c r="A391" s="129"/>
      <c r="C391" s="139"/>
      <c r="D391" s="139" t="str">
        <f ca="1">' '!$A$168</f>
        <v>Description/Remarques</v>
      </c>
      <c r="E391" s="139"/>
      <c r="F391" s="139"/>
    </row>
    <row r="392" spans="1:6" x14ac:dyDescent="0.3">
      <c r="A392" s="129"/>
      <c r="C392" s="705"/>
      <c r="D392" s="705"/>
      <c r="E392" s="705"/>
      <c r="F392" s="705"/>
    </row>
    <row r="393" spans="1:6" x14ac:dyDescent="0.3">
      <c r="A393" s="129"/>
      <c r="C393" s="139"/>
      <c r="D393" s="139" t="str">
        <f ca="1">' '!$A$167</f>
        <v>Calcul</v>
      </c>
      <c r="E393" s="139"/>
      <c r="F393" s="139"/>
    </row>
    <row r="394" spans="1:6" x14ac:dyDescent="0.3">
      <c r="A394" s="129"/>
      <c r="C394" s="705"/>
      <c r="D394" s="705"/>
      <c r="E394" s="705" t="s">
        <v>375</v>
      </c>
      <c r="F394" s="705"/>
    </row>
    <row r="395" spans="1:6" x14ac:dyDescent="0.3">
      <c r="A395" s="129"/>
      <c r="C395" s="139"/>
      <c r="D395" s="140" t="str">
        <f ca="1">' '!$A$169</f>
        <v>Source</v>
      </c>
      <c r="E395" s="139" t="str">
        <f ca="1">' '!$A$170</f>
        <v>Moment de l'enquête &amp; Comparaison avec la branche</v>
      </c>
      <c r="F395" s="139"/>
    </row>
    <row r="396" spans="1:6" x14ac:dyDescent="0.3">
      <c r="A396" s="129"/>
      <c r="C396" s="706"/>
      <c r="D396" s="707"/>
      <c r="E396" s="706"/>
      <c r="F396" s="707"/>
    </row>
    <row r="397" spans="1:6" x14ac:dyDescent="0.3">
      <c r="A397" s="129"/>
      <c r="C397" s="706"/>
      <c r="D397" s="707"/>
      <c r="E397" s="706"/>
      <c r="F397" s="707"/>
    </row>
    <row r="398" spans="1:6" x14ac:dyDescent="0.3">
      <c r="A398" s="129"/>
      <c r="C398" s="706"/>
      <c r="D398" s="707"/>
      <c r="E398" s="706"/>
      <c r="F398" s="707"/>
    </row>
    <row r="399" spans="1:6" x14ac:dyDescent="0.3">
      <c r="A399" s="129"/>
      <c r="C399" s="139"/>
      <c r="D399" s="139"/>
      <c r="E399" s="139"/>
      <c r="F399" s="139"/>
    </row>
    <row r="400" spans="1:6" ht="15.6" x14ac:dyDescent="0.3">
      <c r="A400" s="129"/>
      <c r="D400" s="130"/>
    </row>
    <row r="401" spans="1:6" ht="24" customHeight="1" x14ac:dyDescent="0.3">
      <c r="A401" s="129"/>
      <c r="C401" s="136" t="s">
        <v>308</v>
      </c>
      <c r="D401" s="137">
        <f>_o34</f>
        <v>0</v>
      </c>
      <c r="E401" s="138"/>
      <c r="F401" s="138"/>
    </row>
    <row r="402" spans="1:6" x14ac:dyDescent="0.3">
      <c r="A402" s="129"/>
    </row>
    <row r="403" spans="1:6" x14ac:dyDescent="0.3">
      <c r="A403" s="129"/>
      <c r="C403" s="139"/>
      <c r="D403" s="139" t="str">
        <f ca="1">' '!$A$168</f>
        <v>Description/Remarques</v>
      </c>
      <c r="E403" s="139"/>
      <c r="F403" s="139"/>
    </row>
    <row r="404" spans="1:6" x14ac:dyDescent="0.3">
      <c r="A404" s="129"/>
      <c r="C404" s="705"/>
      <c r="D404" s="705"/>
      <c r="E404" s="705"/>
      <c r="F404" s="705"/>
    </row>
    <row r="405" spans="1:6" x14ac:dyDescent="0.3">
      <c r="A405" s="129"/>
      <c r="C405" s="139"/>
      <c r="D405" s="139" t="str">
        <f ca="1">' '!$A$167</f>
        <v>Calcul</v>
      </c>
      <c r="E405" s="139"/>
      <c r="F405" s="139"/>
    </row>
    <row r="406" spans="1:6" x14ac:dyDescent="0.3">
      <c r="A406" s="129"/>
      <c r="C406" s="705"/>
      <c r="D406" s="705"/>
      <c r="E406" s="705" t="s">
        <v>375</v>
      </c>
      <c r="F406" s="705"/>
    </row>
    <row r="407" spans="1:6" x14ac:dyDescent="0.3">
      <c r="A407" s="129"/>
      <c r="C407" s="139"/>
      <c r="D407" s="140" t="str">
        <f ca="1">' '!$A$169</f>
        <v>Source</v>
      </c>
      <c r="E407" s="139" t="str">
        <f ca="1">' '!$A$170</f>
        <v>Moment de l'enquête &amp; Comparaison avec la branche</v>
      </c>
      <c r="F407" s="139"/>
    </row>
    <row r="408" spans="1:6" x14ac:dyDescent="0.3">
      <c r="A408" s="129"/>
      <c r="C408" s="706"/>
      <c r="D408" s="707"/>
      <c r="E408" s="706"/>
      <c r="F408" s="707"/>
    </row>
    <row r="409" spans="1:6" x14ac:dyDescent="0.3">
      <c r="A409" s="129"/>
      <c r="C409" s="706"/>
      <c r="D409" s="707"/>
      <c r="E409" s="706"/>
      <c r="F409" s="707"/>
    </row>
    <row r="410" spans="1:6" x14ac:dyDescent="0.3">
      <c r="A410" s="129"/>
      <c r="C410" s="706"/>
      <c r="D410" s="707"/>
      <c r="E410" s="706"/>
      <c r="F410" s="707"/>
    </row>
    <row r="411" spans="1:6" x14ac:dyDescent="0.3">
      <c r="A411" s="129"/>
      <c r="C411" s="139"/>
      <c r="D411" s="139"/>
      <c r="E411" s="139"/>
      <c r="F411" s="139"/>
    </row>
    <row r="412" spans="1:6" ht="15.6" x14ac:dyDescent="0.3">
      <c r="A412" s="129"/>
      <c r="D412" s="130"/>
    </row>
    <row r="413" spans="1:6" ht="24" customHeight="1" x14ac:dyDescent="0.3">
      <c r="A413" s="129"/>
      <c r="C413" s="136" t="s">
        <v>309</v>
      </c>
      <c r="D413" s="137">
        <f>_o35</f>
        <v>0</v>
      </c>
      <c r="E413" s="138"/>
      <c r="F413" s="138"/>
    </row>
    <row r="414" spans="1:6" x14ac:dyDescent="0.3">
      <c r="A414" s="129"/>
    </row>
    <row r="415" spans="1:6" x14ac:dyDescent="0.3">
      <c r="A415" s="129"/>
      <c r="C415" s="139"/>
      <c r="D415" s="139" t="str">
        <f ca="1">' '!$A$168</f>
        <v>Description/Remarques</v>
      </c>
      <c r="E415" s="139"/>
      <c r="F415" s="139"/>
    </row>
    <row r="416" spans="1:6" x14ac:dyDescent="0.3">
      <c r="A416" s="129"/>
      <c r="C416" s="705"/>
      <c r="D416" s="705"/>
      <c r="E416" s="705"/>
      <c r="F416" s="705"/>
    </row>
    <row r="417" spans="1:6" x14ac:dyDescent="0.3">
      <c r="A417" s="129"/>
      <c r="C417" s="139"/>
      <c r="D417" s="139" t="str">
        <f ca="1">' '!$A$167</f>
        <v>Calcul</v>
      </c>
      <c r="E417" s="139"/>
      <c r="F417" s="139"/>
    </row>
    <row r="418" spans="1:6" x14ac:dyDescent="0.3">
      <c r="A418" s="129"/>
      <c r="C418" s="705"/>
      <c r="D418" s="705"/>
      <c r="E418" s="705" t="s">
        <v>375</v>
      </c>
      <c r="F418" s="705"/>
    </row>
    <row r="419" spans="1:6" x14ac:dyDescent="0.3">
      <c r="A419" s="129"/>
      <c r="C419" s="139"/>
      <c r="D419" s="140" t="str">
        <f ca="1">' '!$A$169</f>
        <v>Source</v>
      </c>
      <c r="E419" s="139" t="str">
        <f ca="1">' '!$A$170</f>
        <v>Moment de l'enquête &amp; Comparaison avec la branche</v>
      </c>
      <c r="F419" s="139"/>
    </row>
    <row r="420" spans="1:6" x14ac:dyDescent="0.3">
      <c r="A420" s="129"/>
      <c r="C420" s="706"/>
      <c r="D420" s="707"/>
      <c r="E420" s="706"/>
      <c r="F420" s="707"/>
    </row>
    <row r="421" spans="1:6" x14ac:dyDescent="0.3">
      <c r="A421" s="129"/>
      <c r="C421" s="706"/>
      <c r="D421" s="707"/>
      <c r="E421" s="706"/>
      <c r="F421" s="707"/>
    </row>
    <row r="422" spans="1:6" x14ac:dyDescent="0.3">
      <c r="A422" s="129"/>
      <c r="C422" s="706"/>
      <c r="D422" s="707"/>
      <c r="E422" s="706"/>
      <c r="F422" s="707"/>
    </row>
    <row r="423" spans="1:6" x14ac:dyDescent="0.3">
      <c r="A423" s="129"/>
      <c r="C423" s="139"/>
      <c r="D423" s="139"/>
      <c r="E423" s="139"/>
      <c r="F423" s="139"/>
    </row>
    <row r="424" spans="1:6" ht="15.6" x14ac:dyDescent="0.3">
      <c r="A424" s="129"/>
      <c r="D424" s="130"/>
    </row>
    <row r="425" spans="1:6" ht="24" customHeight="1" x14ac:dyDescent="0.3">
      <c r="A425" s="129"/>
      <c r="C425" s="136" t="s">
        <v>310</v>
      </c>
      <c r="D425" s="137">
        <f>_o36</f>
        <v>0</v>
      </c>
      <c r="E425" s="138"/>
      <c r="F425" s="138"/>
    </row>
    <row r="426" spans="1:6" x14ac:dyDescent="0.3">
      <c r="A426" s="129"/>
    </row>
    <row r="427" spans="1:6" x14ac:dyDescent="0.3">
      <c r="A427" s="129"/>
      <c r="C427" s="139"/>
      <c r="D427" s="139" t="str">
        <f ca="1">' '!$A$168</f>
        <v>Description/Remarques</v>
      </c>
      <c r="E427" s="139"/>
      <c r="F427" s="139"/>
    </row>
    <row r="428" spans="1:6" x14ac:dyDescent="0.3">
      <c r="A428" s="129"/>
      <c r="C428" s="705"/>
      <c r="D428" s="705"/>
      <c r="E428" s="705"/>
      <c r="F428" s="705"/>
    </row>
    <row r="429" spans="1:6" x14ac:dyDescent="0.3">
      <c r="A429" s="129"/>
      <c r="C429" s="139"/>
      <c r="D429" s="139" t="str">
        <f ca="1">' '!$A$167</f>
        <v>Calcul</v>
      </c>
      <c r="E429" s="139"/>
      <c r="F429" s="139"/>
    </row>
    <row r="430" spans="1:6" x14ac:dyDescent="0.3">
      <c r="A430" s="129"/>
      <c r="C430" s="705"/>
      <c r="D430" s="705"/>
      <c r="E430" s="705" t="s">
        <v>375</v>
      </c>
      <c r="F430" s="705"/>
    </row>
    <row r="431" spans="1:6" x14ac:dyDescent="0.3">
      <c r="A431" s="129"/>
      <c r="C431" s="139"/>
      <c r="D431" s="140" t="str">
        <f ca="1">' '!$A$169</f>
        <v>Source</v>
      </c>
      <c r="E431" s="139" t="str">
        <f ca="1">' '!$A$170</f>
        <v>Moment de l'enquête &amp; Comparaison avec la branche</v>
      </c>
      <c r="F431" s="139"/>
    </row>
    <row r="432" spans="1:6" x14ac:dyDescent="0.3">
      <c r="A432" s="129"/>
      <c r="C432" s="706"/>
      <c r="D432" s="707"/>
      <c r="E432" s="706"/>
      <c r="F432" s="707"/>
    </row>
    <row r="433" spans="1:6" x14ac:dyDescent="0.3">
      <c r="A433" s="129"/>
      <c r="C433" s="706"/>
      <c r="D433" s="707"/>
      <c r="E433" s="706"/>
      <c r="F433" s="707"/>
    </row>
    <row r="434" spans="1:6" x14ac:dyDescent="0.3">
      <c r="A434" s="129"/>
      <c r="C434" s="706"/>
      <c r="D434" s="707"/>
      <c r="E434" s="706"/>
      <c r="F434" s="707"/>
    </row>
    <row r="435" spans="1:6" x14ac:dyDescent="0.3">
      <c r="A435" s="129"/>
      <c r="C435" s="139"/>
      <c r="D435" s="139"/>
      <c r="E435" s="139"/>
      <c r="F435" s="139"/>
    </row>
    <row r="436" spans="1:6" ht="15.6" x14ac:dyDescent="0.3">
      <c r="A436" s="129"/>
      <c r="D436" s="130"/>
    </row>
    <row r="437" spans="1:6" ht="24" customHeight="1" x14ac:dyDescent="0.3">
      <c r="A437" s="129"/>
      <c r="C437" s="136" t="s">
        <v>311</v>
      </c>
      <c r="D437" s="137">
        <f>_o37</f>
        <v>0</v>
      </c>
      <c r="E437" s="138"/>
      <c r="F437" s="138"/>
    </row>
    <row r="438" spans="1:6" x14ac:dyDescent="0.3">
      <c r="A438" s="129"/>
    </row>
    <row r="439" spans="1:6" x14ac:dyDescent="0.3">
      <c r="A439" s="129"/>
      <c r="C439" s="139"/>
      <c r="D439" s="139" t="str">
        <f ca="1">' '!$A$168</f>
        <v>Description/Remarques</v>
      </c>
      <c r="E439" s="139"/>
      <c r="F439" s="139"/>
    </row>
    <row r="440" spans="1:6" x14ac:dyDescent="0.3">
      <c r="A440" s="129"/>
      <c r="C440" s="705"/>
      <c r="D440" s="705"/>
      <c r="E440" s="705"/>
      <c r="F440" s="705"/>
    </row>
    <row r="441" spans="1:6" x14ac:dyDescent="0.3">
      <c r="A441" s="129"/>
      <c r="C441" s="139"/>
      <c r="D441" s="139" t="str">
        <f ca="1">' '!$A$167</f>
        <v>Calcul</v>
      </c>
      <c r="E441" s="139"/>
      <c r="F441" s="139"/>
    </row>
    <row r="442" spans="1:6" x14ac:dyDescent="0.3">
      <c r="A442" s="129"/>
      <c r="C442" s="705"/>
      <c r="D442" s="705"/>
      <c r="E442" s="705"/>
      <c r="F442" s="705"/>
    </row>
    <row r="443" spans="1:6" x14ac:dyDescent="0.3">
      <c r="A443" s="129"/>
      <c r="C443" s="139"/>
      <c r="D443" s="140" t="str">
        <f ca="1">' '!$A$169</f>
        <v>Source</v>
      </c>
      <c r="E443" s="139" t="str">
        <f ca="1">' '!$A$170</f>
        <v>Moment de l'enquête &amp; Comparaison avec la branche</v>
      </c>
      <c r="F443" s="139"/>
    </row>
    <row r="444" spans="1:6" x14ac:dyDescent="0.3">
      <c r="A444" s="129"/>
      <c r="C444" s="706"/>
      <c r="D444" s="707"/>
      <c r="E444" s="706"/>
      <c r="F444" s="707"/>
    </row>
    <row r="445" spans="1:6" x14ac:dyDescent="0.3">
      <c r="A445" s="129"/>
      <c r="C445" s="706"/>
      <c r="D445" s="707"/>
      <c r="E445" s="706"/>
      <c r="F445" s="707"/>
    </row>
    <row r="446" spans="1:6" x14ac:dyDescent="0.3">
      <c r="A446" s="129"/>
      <c r="C446" s="706"/>
      <c r="D446" s="707"/>
      <c r="E446" s="706"/>
      <c r="F446" s="707"/>
    </row>
    <row r="447" spans="1:6" x14ac:dyDescent="0.3">
      <c r="A447" s="129"/>
      <c r="C447" s="139"/>
      <c r="D447" s="139"/>
      <c r="E447" s="139"/>
      <c r="F447" s="139"/>
    </row>
    <row r="448" spans="1:6" ht="15.6" x14ac:dyDescent="0.3">
      <c r="A448" s="129"/>
      <c r="D448" s="130"/>
    </row>
    <row r="449" spans="1:6" ht="24" customHeight="1" x14ac:dyDescent="0.3">
      <c r="A449" s="129"/>
      <c r="C449" s="136" t="s">
        <v>312</v>
      </c>
      <c r="D449" s="137">
        <f>_o38</f>
        <v>0</v>
      </c>
      <c r="E449" s="138"/>
      <c r="F449" s="138"/>
    </row>
    <row r="450" spans="1:6" x14ac:dyDescent="0.3">
      <c r="A450" s="129"/>
    </row>
    <row r="451" spans="1:6" x14ac:dyDescent="0.3">
      <c r="A451" s="129"/>
      <c r="C451" s="139"/>
      <c r="D451" s="139" t="str">
        <f ca="1">' '!$A$168</f>
        <v>Description/Remarques</v>
      </c>
      <c r="E451" s="139"/>
      <c r="F451" s="139"/>
    </row>
    <row r="452" spans="1:6" x14ac:dyDescent="0.3">
      <c r="A452" s="129"/>
      <c r="C452" s="705"/>
      <c r="D452" s="705"/>
      <c r="E452" s="705"/>
      <c r="F452" s="705"/>
    </row>
    <row r="453" spans="1:6" x14ac:dyDescent="0.3">
      <c r="A453" s="129"/>
      <c r="C453" s="139"/>
      <c r="D453" s="139" t="str">
        <f ca="1">' '!$A$167</f>
        <v>Calcul</v>
      </c>
      <c r="E453" s="139"/>
      <c r="F453" s="139"/>
    </row>
    <row r="454" spans="1:6" x14ac:dyDescent="0.3">
      <c r="A454" s="129"/>
      <c r="C454" s="705"/>
      <c r="D454" s="705"/>
      <c r="E454" s="705" t="s">
        <v>375</v>
      </c>
      <c r="F454" s="705"/>
    </row>
    <row r="455" spans="1:6" x14ac:dyDescent="0.3">
      <c r="A455" s="129"/>
      <c r="C455" s="139"/>
      <c r="D455" s="140" t="str">
        <f ca="1">' '!$A$169</f>
        <v>Source</v>
      </c>
      <c r="E455" s="139" t="str">
        <f ca="1">' '!$A$170</f>
        <v>Moment de l'enquête &amp; Comparaison avec la branche</v>
      </c>
      <c r="F455" s="139"/>
    </row>
    <row r="456" spans="1:6" x14ac:dyDescent="0.3">
      <c r="A456" s="129"/>
      <c r="C456" s="706"/>
      <c r="D456" s="707"/>
      <c r="E456" s="706"/>
      <c r="F456" s="707"/>
    </row>
    <row r="457" spans="1:6" x14ac:dyDescent="0.3">
      <c r="A457" s="129"/>
      <c r="C457" s="706"/>
      <c r="D457" s="707"/>
      <c r="E457" s="706"/>
      <c r="F457" s="707"/>
    </row>
    <row r="458" spans="1:6" x14ac:dyDescent="0.3">
      <c r="A458" s="129"/>
      <c r="C458" s="706"/>
      <c r="D458" s="707"/>
      <c r="E458" s="706"/>
      <c r="F458" s="707"/>
    </row>
    <row r="459" spans="1:6" x14ac:dyDescent="0.3">
      <c r="A459" s="129"/>
      <c r="C459" s="139"/>
      <c r="D459" s="139"/>
      <c r="E459" s="139"/>
      <c r="F459" s="139"/>
    </row>
    <row r="460" spans="1:6" ht="15.6" x14ac:dyDescent="0.3">
      <c r="A460" s="129"/>
      <c r="D460" s="130"/>
    </row>
    <row r="461" spans="1:6" ht="24" customHeight="1" x14ac:dyDescent="0.3">
      <c r="A461" s="129"/>
      <c r="C461" s="136" t="s">
        <v>313</v>
      </c>
      <c r="D461" s="137">
        <f>_o39</f>
        <v>0</v>
      </c>
      <c r="E461" s="138"/>
      <c r="F461" s="138"/>
    </row>
    <row r="462" spans="1:6" x14ac:dyDescent="0.3">
      <c r="A462" s="129"/>
    </row>
    <row r="463" spans="1:6" x14ac:dyDescent="0.3">
      <c r="A463" s="129"/>
      <c r="C463" s="139"/>
      <c r="D463" s="139" t="str">
        <f ca="1">' '!$A$168</f>
        <v>Description/Remarques</v>
      </c>
      <c r="E463" s="139"/>
      <c r="F463" s="139"/>
    </row>
    <row r="464" spans="1:6" x14ac:dyDescent="0.3">
      <c r="A464" s="129"/>
      <c r="C464" s="705"/>
      <c r="D464" s="705"/>
      <c r="E464" s="705"/>
      <c r="F464" s="705"/>
    </row>
    <row r="465" spans="1:6" x14ac:dyDescent="0.3">
      <c r="A465" s="129"/>
      <c r="C465" s="139"/>
      <c r="D465" s="139" t="str">
        <f ca="1">' '!$A$167</f>
        <v>Calcul</v>
      </c>
      <c r="E465" s="139"/>
      <c r="F465" s="139"/>
    </row>
    <row r="466" spans="1:6" x14ac:dyDescent="0.3">
      <c r="A466" s="129"/>
      <c r="C466" s="705"/>
      <c r="D466" s="705"/>
      <c r="E466" s="705" t="s">
        <v>375</v>
      </c>
      <c r="F466" s="705"/>
    </row>
    <row r="467" spans="1:6" x14ac:dyDescent="0.3">
      <c r="A467" s="129"/>
      <c r="C467" s="139"/>
      <c r="D467" s="140" t="str">
        <f ca="1">' '!$A$169</f>
        <v>Source</v>
      </c>
      <c r="E467" s="139" t="str">
        <f ca="1">' '!$A$170</f>
        <v>Moment de l'enquête &amp; Comparaison avec la branche</v>
      </c>
      <c r="F467" s="139"/>
    </row>
    <row r="468" spans="1:6" x14ac:dyDescent="0.3">
      <c r="A468" s="129"/>
      <c r="C468" s="706"/>
      <c r="D468" s="707"/>
      <c r="E468" s="706"/>
      <c r="F468" s="707"/>
    </row>
    <row r="469" spans="1:6" x14ac:dyDescent="0.3">
      <c r="A469" s="129"/>
      <c r="C469" s="706"/>
      <c r="D469" s="707"/>
      <c r="E469" s="706"/>
      <c r="F469" s="707"/>
    </row>
    <row r="470" spans="1:6" x14ac:dyDescent="0.3">
      <c r="A470" s="129"/>
      <c r="C470" s="706"/>
      <c r="D470" s="707"/>
      <c r="E470" s="706"/>
      <c r="F470" s="707"/>
    </row>
    <row r="471" spans="1:6" x14ac:dyDescent="0.3">
      <c r="A471" s="129"/>
      <c r="C471" s="139"/>
      <c r="D471" s="139"/>
      <c r="E471" s="139"/>
      <c r="F471" s="139"/>
    </row>
    <row r="472" spans="1:6" ht="15.6" x14ac:dyDescent="0.3">
      <c r="A472" s="129"/>
      <c r="D472" s="130"/>
    </row>
    <row r="473" spans="1:6" ht="24" customHeight="1" x14ac:dyDescent="0.3">
      <c r="A473" s="129"/>
      <c r="C473" s="136" t="s">
        <v>314</v>
      </c>
      <c r="D473" s="137">
        <f>_o40</f>
        <v>0</v>
      </c>
      <c r="E473" s="138"/>
      <c r="F473" s="138"/>
    </row>
    <row r="474" spans="1:6" x14ac:dyDescent="0.3">
      <c r="A474" s="129"/>
    </row>
    <row r="475" spans="1:6" x14ac:dyDescent="0.3">
      <c r="A475" s="129"/>
      <c r="C475" s="139"/>
      <c r="D475" s="139" t="str">
        <f ca="1">' '!$A$168</f>
        <v>Description/Remarques</v>
      </c>
      <c r="E475" s="139"/>
      <c r="F475" s="139"/>
    </row>
    <row r="476" spans="1:6" x14ac:dyDescent="0.3">
      <c r="A476" s="129"/>
      <c r="C476" s="705"/>
      <c r="D476" s="705"/>
      <c r="E476" s="705"/>
      <c r="F476" s="705"/>
    </row>
    <row r="477" spans="1:6" x14ac:dyDescent="0.3">
      <c r="A477" s="129"/>
      <c r="C477" s="139"/>
      <c r="D477" s="139" t="str">
        <f ca="1">' '!$A$167</f>
        <v>Calcul</v>
      </c>
      <c r="E477" s="139"/>
      <c r="F477" s="139"/>
    </row>
    <row r="478" spans="1:6" x14ac:dyDescent="0.3">
      <c r="A478" s="129"/>
      <c r="C478" s="705"/>
      <c r="D478" s="705"/>
      <c r="E478" s="705" t="s">
        <v>375</v>
      </c>
      <c r="F478" s="705"/>
    </row>
    <row r="479" spans="1:6" x14ac:dyDescent="0.3">
      <c r="A479" s="129"/>
      <c r="C479" s="139"/>
      <c r="D479" s="140" t="str">
        <f ca="1">' '!$A$169</f>
        <v>Source</v>
      </c>
      <c r="E479" s="139" t="str">
        <f ca="1">' '!$A$170</f>
        <v>Moment de l'enquête &amp; Comparaison avec la branche</v>
      </c>
      <c r="F479" s="139"/>
    </row>
    <row r="480" spans="1:6" x14ac:dyDescent="0.3">
      <c r="A480" s="129"/>
      <c r="C480" s="706"/>
      <c r="D480" s="707"/>
      <c r="E480" s="706"/>
      <c r="F480" s="707"/>
    </row>
    <row r="481" spans="1:6" x14ac:dyDescent="0.3">
      <c r="A481" s="129"/>
      <c r="C481" s="706"/>
      <c r="D481" s="707"/>
      <c r="E481" s="706"/>
      <c r="F481" s="707"/>
    </row>
    <row r="482" spans="1:6" x14ac:dyDescent="0.3">
      <c r="A482" s="129"/>
      <c r="C482" s="706"/>
      <c r="D482" s="707"/>
      <c r="E482" s="706"/>
      <c r="F482" s="707"/>
    </row>
    <row r="483" spans="1:6" x14ac:dyDescent="0.3">
      <c r="A483" s="129"/>
      <c r="C483" s="139"/>
      <c r="D483" s="139"/>
      <c r="E483" s="139"/>
      <c r="F483" s="139"/>
    </row>
    <row r="484" spans="1:6" ht="15.6" x14ac:dyDescent="0.3">
      <c r="A484" s="129"/>
      <c r="D484" s="130"/>
    </row>
    <row r="485" spans="1:6" ht="24" customHeight="1" x14ac:dyDescent="0.3">
      <c r="A485" s="129"/>
      <c r="C485" s="136" t="s">
        <v>316</v>
      </c>
      <c r="D485" s="137">
        <f>_o41</f>
        <v>0</v>
      </c>
      <c r="E485" s="138"/>
      <c r="F485" s="138"/>
    </row>
    <row r="486" spans="1:6" x14ac:dyDescent="0.3">
      <c r="A486" s="129"/>
    </row>
    <row r="487" spans="1:6" x14ac:dyDescent="0.3">
      <c r="A487" s="129"/>
      <c r="C487" s="139"/>
      <c r="D487" s="139" t="str">
        <f ca="1">' '!$A$168</f>
        <v>Description/Remarques</v>
      </c>
      <c r="E487" s="139"/>
      <c r="F487" s="139"/>
    </row>
    <row r="488" spans="1:6" x14ac:dyDescent="0.3">
      <c r="A488" s="129"/>
      <c r="C488" s="705"/>
      <c r="D488" s="705"/>
      <c r="E488" s="705"/>
      <c r="F488" s="705"/>
    </row>
    <row r="489" spans="1:6" x14ac:dyDescent="0.3">
      <c r="A489" s="129"/>
      <c r="C489" s="139"/>
      <c r="D489" s="139" t="str">
        <f ca="1">' '!$A$167</f>
        <v>Calcul</v>
      </c>
      <c r="E489" s="139"/>
      <c r="F489" s="139"/>
    </row>
    <row r="490" spans="1:6" x14ac:dyDescent="0.3">
      <c r="A490" s="129"/>
      <c r="C490" s="705"/>
      <c r="D490" s="705"/>
      <c r="E490" s="705" t="s">
        <v>375</v>
      </c>
      <c r="F490" s="705"/>
    </row>
    <row r="491" spans="1:6" x14ac:dyDescent="0.3">
      <c r="A491" s="129"/>
      <c r="C491" s="139"/>
      <c r="D491" s="140" t="str">
        <f ca="1">' '!$A$169</f>
        <v>Source</v>
      </c>
      <c r="E491" s="139" t="str">
        <f ca="1">' '!$A$170</f>
        <v>Moment de l'enquête &amp; Comparaison avec la branche</v>
      </c>
      <c r="F491" s="139"/>
    </row>
    <row r="492" spans="1:6" x14ac:dyDescent="0.3">
      <c r="A492" s="129"/>
      <c r="C492" s="706"/>
      <c r="D492" s="707"/>
      <c r="E492" s="706"/>
      <c r="F492" s="707"/>
    </row>
    <row r="493" spans="1:6" x14ac:dyDescent="0.3">
      <c r="A493" s="129"/>
      <c r="C493" s="706"/>
      <c r="D493" s="707"/>
      <c r="E493" s="706"/>
      <c r="F493" s="707"/>
    </row>
    <row r="494" spans="1:6" x14ac:dyDescent="0.3">
      <c r="A494" s="129"/>
      <c r="C494" s="706"/>
      <c r="D494" s="707"/>
      <c r="E494" s="706"/>
      <c r="F494" s="707"/>
    </row>
    <row r="495" spans="1:6" x14ac:dyDescent="0.3">
      <c r="A495" s="129"/>
      <c r="C495" s="139"/>
      <c r="D495" s="139"/>
      <c r="E495" s="139"/>
      <c r="F495" s="139"/>
    </row>
    <row r="496" spans="1:6" ht="15.6" x14ac:dyDescent="0.3">
      <c r="A496" s="129"/>
      <c r="D496" s="130"/>
    </row>
    <row r="497" spans="1:6" ht="24" customHeight="1" x14ac:dyDescent="0.3">
      <c r="A497" s="129"/>
      <c r="C497" s="136" t="s">
        <v>317</v>
      </c>
      <c r="D497" s="137">
        <f>_o42</f>
        <v>0</v>
      </c>
      <c r="E497" s="138"/>
      <c r="F497" s="138"/>
    </row>
    <row r="498" spans="1:6" x14ac:dyDescent="0.3">
      <c r="A498" s="129"/>
    </row>
    <row r="499" spans="1:6" x14ac:dyDescent="0.3">
      <c r="A499" s="129"/>
      <c r="C499" s="139"/>
      <c r="D499" s="139" t="str">
        <f ca="1">' '!$A$168</f>
        <v>Description/Remarques</v>
      </c>
      <c r="E499" s="139"/>
      <c r="F499" s="139"/>
    </row>
    <row r="500" spans="1:6" x14ac:dyDescent="0.3">
      <c r="A500" s="129"/>
      <c r="C500" s="705"/>
      <c r="D500" s="705"/>
      <c r="E500" s="705"/>
      <c r="F500" s="705"/>
    </row>
    <row r="501" spans="1:6" x14ac:dyDescent="0.3">
      <c r="A501" s="129"/>
      <c r="C501" s="139"/>
      <c r="D501" s="139" t="str">
        <f ca="1">' '!$A$167</f>
        <v>Calcul</v>
      </c>
      <c r="E501" s="139"/>
      <c r="F501" s="139"/>
    </row>
    <row r="502" spans="1:6" x14ac:dyDescent="0.3">
      <c r="A502" s="129"/>
      <c r="C502" s="705"/>
      <c r="D502" s="705"/>
      <c r="E502" s="705" t="s">
        <v>375</v>
      </c>
      <c r="F502" s="705"/>
    </row>
    <row r="503" spans="1:6" x14ac:dyDescent="0.3">
      <c r="A503" s="129"/>
      <c r="C503" s="139"/>
      <c r="D503" s="140" t="str">
        <f ca="1">' '!$A$169</f>
        <v>Source</v>
      </c>
      <c r="E503" s="139" t="str">
        <f ca="1">' '!$A$170</f>
        <v>Moment de l'enquête &amp; Comparaison avec la branche</v>
      </c>
      <c r="F503" s="139"/>
    </row>
    <row r="504" spans="1:6" x14ac:dyDescent="0.3">
      <c r="A504" s="129"/>
      <c r="C504" s="706"/>
      <c r="D504" s="707"/>
      <c r="E504" s="706"/>
      <c r="F504" s="707"/>
    </row>
    <row r="505" spans="1:6" x14ac:dyDescent="0.3">
      <c r="A505" s="129"/>
      <c r="C505" s="706"/>
      <c r="D505" s="707"/>
      <c r="E505" s="706"/>
      <c r="F505" s="707"/>
    </row>
    <row r="506" spans="1:6" x14ac:dyDescent="0.3">
      <c r="A506" s="129"/>
      <c r="C506" s="706"/>
      <c r="D506" s="707"/>
      <c r="E506" s="706"/>
      <c r="F506" s="707"/>
    </row>
    <row r="507" spans="1:6" x14ac:dyDescent="0.3">
      <c r="A507" s="129"/>
      <c r="C507" s="139"/>
      <c r="D507" s="139"/>
      <c r="E507" s="139"/>
      <c r="F507" s="139"/>
    </row>
    <row r="508" spans="1:6" ht="15.6" x14ac:dyDescent="0.3">
      <c r="A508" s="129"/>
      <c r="D508" s="130"/>
    </row>
    <row r="509" spans="1:6" ht="24" customHeight="1" x14ac:dyDescent="0.3">
      <c r="A509" s="129"/>
      <c r="C509" s="136" t="s">
        <v>319</v>
      </c>
      <c r="D509" s="137">
        <f>_o43</f>
        <v>0</v>
      </c>
      <c r="E509" s="138"/>
      <c r="F509" s="138"/>
    </row>
    <row r="510" spans="1:6" x14ac:dyDescent="0.3">
      <c r="A510" s="129"/>
    </row>
    <row r="511" spans="1:6" x14ac:dyDescent="0.3">
      <c r="A511" s="129"/>
      <c r="C511" s="139"/>
      <c r="D511" s="139" t="str">
        <f ca="1">' '!$A$168</f>
        <v>Description/Remarques</v>
      </c>
      <c r="E511" s="139"/>
      <c r="F511" s="139"/>
    </row>
    <row r="512" spans="1:6" x14ac:dyDescent="0.3">
      <c r="A512" s="129"/>
      <c r="C512" s="705"/>
      <c r="D512" s="705"/>
      <c r="E512" s="705"/>
      <c r="F512" s="705"/>
    </row>
    <row r="513" spans="1:6" x14ac:dyDescent="0.3">
      <c r="A513" s="129"/>
      <c r="C513" s="139"/>
      <c r="D513" s="139" t="str">
        <f ca="1">' '!$A$167</f>
        <v>Calcul</v>
      </c>
      <c r="E513" s="139"/>
      <c r="F513" s="139"/>
    </row>
    <row r="514" spans="1:6" x14ac:dyDescent="0.3">
      <c r="A514" s="129"/>
      <c r="C514" s="705"/>
      <c r="D514" s="705"/>
      <c r="E514" s="705" t="s">
        <v>375</v>
      </c>
      <c r="F514" s="705"/>
    </row>
    <row r="515" spans="1:6" x14ac:dyDescent="0.3">
      <c r="A515" s="129"/>
      <c r="C515" s="139"/>
      <c r="D515" s="140" t="str">
        <f ca="1">' '!$A$169</f>
        <v>Source</v>
      </c>
      <c r="E515" s="139" t="str">
        <f ca="1">' '!$A$170</f>
        <v>Moment de l'enquête &amp; Comparaison avec la branche</v>
      </c>
      <c r="F515" s="139"/>
    </row>
    <row r="516" spans="1:6" x14ac:dyDescent="0.3">
      <c r="A516" s="129"/>
      <c r="C516" s="706"/>
      <c r="D516" s="707"/>
      <c r="E516" s="706"/>
      <c r="F516" s="707"/>
    </row>
    <row r="517" spans="1:6" x14ac:dyDescent="0.3">
      <c r="A517" s="129"/>
      <c r="C517" s="706"/>
      <c r="D517" s="707"/>
      <c r="E517" s="706"/>
      <c r="F517" s="707"/>
    </row>
    <row r="518" spans="1:6" x14ac:dyDescent="0.3">
      <c r="A518" s="129"/>
      <c r="C518" s="706"/>
      <c r="D518" s="707"/>
      <c r="E518" s="706"/>
      <c r="F518" s="707"/>
    </row>
    <row r="519" spans="1:6" x14ac:dyDescent="0.3">
      <c r="A519" s="129"/>
      <c r="C519" s="139"/>
      <c r="D519" s="139"/>
      <c r="E519" s="139"/>
      <c r="F519" s="139"/>
    </row>
    <row r="520" spans="1:6" ht="15.6" x14ac:dyDescent="0.3">
      <c r="A520" s="129"/>
      <c r="D520" s="130"/>
    </row>
    <row r="521" spans="1:6" ht="24" customHeight="1" x14ac:dyDescent="0.3">
      <c r="A521" s="129"/>
      <c r="C521" s="136" t="s">
        <v>320</v>
      </c>
      <c r="D521" s="137">
        <f>_o44</f>
        <v>0</v>
      </c>
      <c r="E521" s="138"/>
      <c r="F521" s="138"/>
    </row>
    <row r="522" spans="1:6" x14ac:dyDescent="0.3">
      <c r="A522" s="129"/>
    </row>
    <row r="523" spans="1:6" x14ac:dyDescent="0.3">
      <c r="A523" s="129"/>
      <c r="C523" s="139"/>
      <c r="D523" s="139" t="str">
        <f ca="1">' '!$A$168</f>
        <v>Description/Remarques</v>
      </c>
      <c r="E523" s="139"/>
      <c r="F523" s="139"/>
    </row>
    <row r="524" spans="1:6" x14ac:dyDescent="0.3">
      <c r="A524" s="129"/>
      <c r="C524" s="705"/>
      <c r="D524" s="705"/>
      <c r="E524" s="705"/>
      <c r="F524" s="705"/>
    </row>
    <row r="525" spans="1:6" x14ac:dyDescent="0.3">
      <c r="A525" s="129"/>
      <c r="C525" s="139"/>
      <c r="D525" s="139" t="str">
        <f ca="1">' '!$A$167</f>
        <v>Calcul</v>
      </c>
      <c r="E525" s="139"/>
      <c r="F525" s="139"/>
    </row>
    <row r="526" spans="1:6" x14ac:dyDescent="0.3">
      <c r="A526" s="129"/>
      <c r="C526" s="705"/>
      <c r="D526" s="705"/>
      <c r="E526" s="705" t="s">
        <v>375</v>
      </c>
      <c r="F526" s="705"/>
    </row>
    <row r="527" spans="1:6" x14ac:dyDescent="0.3">
      <c r="A527" s="129"/>
      <c r="C527" s="139"/>
      <c r="D527" s="140" t="str">
        <f ca="1">' '!$A$169</f>
        <v>Source</v>
      </c>
      <c r="E527" s="139" t="str">
        <f ca="1">' '!$A$170</f>
        <v>Moment de l'enquête &amp; Comparaison avec la branche</v>
      </c>
      <c r="F527" s="139"/>
    </row>
    <row r="528" spans="1:6" x14ac:dyDescent="0.3">
      <c r="A528" s="129"/>
      <c r="C528" s="706"/>
      <c r="D528" s="707"/>
      <c r="E528" s="706"/>
      <c r="F528" s="707"/>
    </row>
    <row r="529" spans="1:6" x14ac:dyDescent="0.3">
      <c r="A529" s="129"/>
      <c r="C529" s="706"/>
      <c r="D529" s="707"/>
      <c r="E529" s="706"/>
      <c r="F529" s="707"/>
    </row>
    <row r="530" spans="1:6" x14ac:dyDescent="0.3">
      <c r="A530" s="129"/>
      <c r="C530" s="706"/>
      <c r="D530" s="707"/>
      <c r="E530" s="706"/>
      <c r="F530" s="707"/>
    </row>
    <row r="531" spans="1:6" x14ac:dyDescent="0.3">
      <c r="A531" s="129"/>
      <c r="C531" s="139"/>
      <c r="D531" s="139"/>
      <c r="E531" s="139"/>
      <c r="F531" s="139"/>
    </row>
    <row r="532" spans="1:6" ht="15.6" x14ac:dyDescent="0.3">
      <c r="A532" s="129"/>
      <c r="D532" s="130"/>
    </row>
    <row r="533" spans="1:6" ht="24" customHeight="1" x14ac:dyDescent="0.3">
      <c r="A533" s="129"/>
      <c r="C533" s="136" t="s">
        <v>322</v>
      </c>
      <c r="D533" s="137">
        <f>_o45</f>
        <v>0</v>
      </c>
      <c r="E533" s="138"/>
      <c r="F533" s="138"/>
    </row>
    <row r="534" spans="1:6" x14ac:dyDescent="0.3">
      <c r="A534" s="129"/>
    </row>
    <row r="535" spans="1:6" x14ac:dyDescent="0.3">
      <c r="A535" s="129"/>
      <c r="C535" s="139"/>
      <c r="D535" s="139" t="str">
        <f ca="1">' '!$A$168</f>
        <v>Description/Remarques</v>
      </c>
      <c r="E535" s="139"/>
      <c r="F535" s="139"/>
    </row>
    <row r="536" spans="1:6" x14ac:dyDescent="0.3">
      <c r="A536" s="129"/>
      <c r="C536" s="705"/>
      <c r="D536" s="705"/>
      <c r="E536" s="705"/>
      <c r="F536" s="705"/>
    </row>
    <row r="537" spans="1:6" x14ac:dyDescent="0.3">
      <c r="A537" s="129"/>
      <c r="C537" s="139"/>
      <c r="D537" s="139" t="str">
        <f ca="1">' '!$A$167</f>
        <v>Calcul</v>
      </c>
      <c r="E537" s="139"/>
      <c r="F537" s="139"/>
    </row>
    <row r="538" spans="1:6" x14ac:dyDescent="0.3">
      <c r="A538" s="129"/>
      <c r="C538" s="705"/>
      <c r="D538" s="705"/>
      <c r="E538" s="705" t="s">
        <v>375</v>
      </c>
      <c r="F538" s="705"/>
    </row>
    <row r="539" spans="1:6" x14ac:dyDescent="0.3">
      <c r="A539" s="129"/>
      <c r="C539" s="139"/>
      <c r="D539" s="140" t="str">
        <f ca="1">' '!$A$169</f>
        <v>Source</v>
      </c>
      <c r="E539" s="139" t="str">
        <f ca="1">' '!$A$170</f>
        <v>Moment de l'enquête &amp; Comparaison avec la branche</v>
      </c>
      <c r="F539" s="139"/>
    </row>
    <row r="540" spans="1:6" x14ac:dyDescent="0.3">
      <c r="A540" s="129"/>
      <c r="C540" s="706"/>
      <c r="D540" s="707"/>
      <c r="E540" s="706"/>
      <c r="F540" s="707"/>
    </row>
    <row r="541" spans="1:6" x14ac:dyDescent="0.3">
      <c r="A541" s="129"/>
      <c r="C541" s="706"/>
      <c r="D541" s="707"/>
      <c r="E541" s="706"/>
      <c r="F541" s="707"/>
    </row>
    <row r="542" spans="1:6" x14ac:dyDescent="0.3">
      <c r="A542" s="129"/>
      <c r="C542" s="706"/>
      <c r="D542" s="707"/>
      <c r="E542" s="706"/>
      <c r="F542" s="707"/>
    </row>
    <row r="543" spans="1:6" x14ac:dyDescent="0.3">
      <c r="A543" s="129"/>
      <c r="C543" s="139"/>
      <c r="D543" s="139"/>
      <c r="E543" s="139"/>
      <c r="F543" s="139"/>
    </row>
    <row r="544" spans="1:6" ht="15.6" x14ac:dyDescent="0.3">
      <c r="A544" s="129"/>
      <c r="D544" s="130"/>
    </row>
    <row r="545" spans="1:6" ht="24" customHeight="1" x14ac:dyDescent="0.3">
      <c r="A545" s="129"/>
      <c r="C545" s="136" t="s">
        <v>323</v>
      </c>
      <c r="D545" s="137">
        <f>_o46</f>
        <v>0</v>
      </c>
      <c r="E545" s="138"/>
      <c r="F545" s="138"/>
    </row>
    <row r="546" spans="1:6" x14ac:dyDescent="0.3">
      <c r="A546" s="129"/>
    </row>
    <row r="547" spans="1:6" x14ac:dyDescent="0.3">
      <c r="A547" s="129"/>
      <c r="C547" s="139"/>
      <c r="D547" s="139" t="str">
        <f ca="1">' '!$A$168</f>
        <v>Description/Remarques</v>
      </c>
      <c r="E547" s="139"/>
      <c r="F547" s="139"/>
    </row>
    <row r="548" spans="1:6" x14ac:dyDescent="0.3">
      <c r="A548" s="129"/>
      <c r="C548" s="705"/>
      <c r="D548" s="705"/>
      <c r="E548" s="705"/>
      <c r="F548" s="705"/>
    </row>
    <row r="549" spans="1:6" x14ac:dyDescent="0.3">
      <c r="A549" s="129"/>
      <c r="C549" s="139"/>
      <c r="D549" s="139" t="str">
        <f ca="1">' '!$A$167</f>
        <v>Calcul</v>
      </c>
      <c r="E549" s="139"/>
      <c r="F549" s="139"/>
    </row>
    <row r="550" spans="1:6" x14ac:dyDescent="0.3">
      <c r="A550" s="129"/>
      <c r="C550" s="705"/>
      <c r="D550" s="705"/>
      <c r="E550" s="705" t="s">
        <v>375</v>
      </c>
      <c r="F550" s="705"/>
    </row>
    <row r="551" spans="1:6" x14ac:dyDescent="0.3">
      <c r="A551" s="129"/>
      <c r="C551" s="139"/>
      <c r="D551" s="140" t="str">
        <f ca="1">' '!$A$169</f>
        <v>Source</v>
      </c>
      <c r="E551" s="139" t="str">
        <f ca="1">' '!$A$170</f>
        <v>Moment de l'enquête &amp; Comparaison avec la branche</v>
      </c>
      <c r="F551" s="139"/>
    </row>
    <row r="552" spans="1:6" x14ac:dyDescent="0.3">
      <c r="A552" s="129"/>
      <c r="C552" s="706"/>
      <c r="D552" s="707"/>
      <c r="E552" s="706"/>
      <c r="F552" s="707"/>
    </row>
    <row r="553" spans="1:6" x14ac:dyDescent="0.3">
      <c r="A553" s="129"/>
      <c r="C553" s="706"/>
      <c r="D553" s="707"/>
      <c r="E553" s="706"/>
      <c r="F553" s="707"/>
    </row>
    <row r="554" spans="1:6" x14ac:dyDescent="0.3">
      <c r="A554" s="129"/>
      <c r="C554" s="706"/>
      <c r="D554" s="707"/>
      <c r="E554" s="706"/>
      <c r="F554" s="707"/>
    </row>
    <row r="555" spans="1:6" x14ac:dyDescent="0.3">
      <c r="A555" s="129"/>
      <c r="C555" s="139"/>
      <c r="D555" s="139"/>
      <c r="E555" s="139"/>
      <c r="F555" s="139"/>
    </row>
    <row r="556" spans="1:6" ht="15.6" x14ac:dyDescent="0.3">
      <c r="A556" s="129"/>
      <c r="D556" s="130"/>
    </row>
    <row r="557" spans="1:6" ht="24" customHeight="1" x14ac:dyDescent="0.3">
      <c r="A557" s="129"/>
      <c r="C557" s="136" t="s">
        <v>325</v>
      </c>
      <c r="D557" s="137">
        <f>_o47</f>
        <v>0</v>
      </c>
      <c r="E557" s="138"/>
      <c r="F557" s="138"/>
    </row>
    <row r="558" spans="1:6" x14ac:dyDescent="0.3">
      <c r="A558" s="129"/>
    </row>
    <row r="559" spans="1:6" x14ac:dyDescent="0.3">
      <c r="A559" s="129"/>
      <c r="C559" s="139"/>
      <c r="D559" s="139" t="str">
        <f ca="1">' '!$A$168</f>
        <v>Description/Remarques</v>
      </c>
      <c r="E559" s="139"/>
      <c r="F559" s="139"/>
    </row>
    <row r="560" spans="1:6" x14ac:dyDescent="0.3">
      <c r="A560" s="129"/>
      <c r="C560" s="705"/>
      <c r="D560" s="705"/>
      <c r="E560" s="705"/>
      <c r="F560" s="705"/>
    </row>
    <row r="561" spans="1:6" x14ac:dyDescent="0.3">
      <c r="A561" s="129"/>
      <c r="C561" s="139"/>
      <c r="D561" s="139" t="str">
        <f ca="1">' '!$A$167</f>
        <v>Calcul</v>
      </c>
      <c r="E561" s="139"/>
      <c r="F561" s="139"/>
    </row>
    <row r="562" spans="1:6" x14ac:dyDescent="0.3">
      <c r="A562" s="129"/>
      <c r="C562" s="705"/>
      <c r="D562" s="705"/>
      <c r="E562" s="705" t="s">
        <v>375</v>
      </c>
      <c r="F562" s="705"/>
    </row>
    <row r="563" spans="1:6" x14ac:dyDescent="0.3">
      <c r="A563" s="129"/>
      <c r="C563" s="139"/>
      <c r="D563" s="140" t="str">
        <f ca="1">' '!$A$169</f>
        <v>Source</v>
      </c>
      <c r="E563" s="139" t="str">
        <f ca="1">' '!$A$170</f>
        <v>Moment de l'enquête &amp; Comparaison avec la branche</v>
      </c>
      <c r="F563" s="139"/>
    </row>
    <row r="564" spans="1:6" x14ac:dyDescent="0.3">
      <c r="A564" s="129"/>
      <c r="C564" s="706"/>
      <c r="D564" s="707"/>
      <c r="E564" s="706"/>
      <c r="F564" s="707"/>
    </row>
    <row r="565" spans="1:6" x14ac:dyDescent="0.3">
      <c r="A565" s="129"/>
      <c r="C565" s="706"/>
      <c r="D565" s="707"/>
      <c r="E565" s="706"/>
      <c r="F565" s="707"/>
    </row>
    <row r="566" spans="1:6" x14ac:dyDescent="0.3">
      <c r="A566" s="129"/>
      <c r="C566" s="706"/>
      <c r="D566" s="707"/>
      <c r="E566" s="706"/>
      <c r="F566" s="707"/>
    </row>
    <row r="567" spans="1:6" x14ac:dyDescent="0.3">
      <c r="A567" s="129"/>
      <c r="C567" s="139"/>
      <c r="D567" s="139"/>
      <c r="E567" s="139"/>
      <c r="F567" s="139"/>
    </row>
    <row r="568" spans="1:6" ht="15.6" x14ac:dyDescent="0.3">
      <c r="A568" s="129"/>
      <c r="D568" s="130"/>
    </row>
    <row r="569" spans="1:6" ht="24" customHeight="1" x14ac:dyDescent="0.3">
      <c r="A569" s="129"/>
      <c r="C569" s="136" t="s">
        <v>326</v>
      </c>
      <c r="D569" s="137">
        <f>_o48</f>
        <v>0</v>
      </c>
      <c r="E569" s="138"/>
      <c r="F569" s="138"/>
    </row>
    <row r="570" spans="1:6" x14ac:dyDescent="0.3">
      <c r="A570" s="129"/>
    </row>
    <row r="571" spans="1:6" x14ac:dyDescent="0.3">
      <c r="A571" s="129"/>
      <c r="C571" s="139"/>
      <c r="D571" s="139" t="str">
        <f ca="1">' '!$A$168</f>
        <v>Description/Remarques</v>
      </c>
      <c r="E571" s="139"/>
      <c r="F571" s="139"/>
    </row>
    <row r="572" spans="1:6" x14ac:dyDescent="0.3">
      <c r="A572" s="129"/>
      <c r="C572" s="705"/>
      <c r="D572" s="705"/>
      <c r="E572" s="705"/>
      <c r="F572" s="705"/>
    </row>
    <row r="573" spans="1:6" x14ac:dyDescent="0.3">
      <c r="A573" s="129"/>
      <c r="C573" s="139"/>
      <c r="D573" s="139" t="str">
        <f ca="1">' '!$A$167</f>
        <v>Calcul</v>
      </c>
      <c r="E573" s="139"/>
      <c r="F573" s="139"/>
    </row>
    <row r="574" spans="1:6" x14ac:dyDescent="0.3">
      <c r="A574" s="129"/>
      <c r="C574" s="705"/>
      <c r="D574" s="705"/>
      <c r="E574" s="705" t="s">
        <v>375</v>
      </c>
      <c r="F574" s="705"/>
    </row>
    <row r="575" spans="1:6" x14ac:dyDescent="0.3">
      <c r="A575" s="129"/>
      <c r="C575" s="139"/>
      <c r="D575" s="140" t="str">
        <f ca="1">' '!$A$169</f>
        <v>Source</v>
      </c>
      <c r="E575" s="139" t="str">
        <f ca="1">' '!$A$170</f>
        <v>Moment de l'enquête &amp; Comparaison avec la branche</v>
      </c>
      <c r="F575" s="139"/>
    </row>
    <row r="576" spans="1:6" x14ac:dyDescent="0.3">
      <c r="A576" s="129"/>
      <c r="C576" s="706"/>
      <c r="D576" s="707"/>
      <c r="E576" s="706"/>
      <c r="F576" s="707"/>
    </row>
    <row r="577" spans="1:6" x14ac:dyDescent="0.3">
      <c r="A577" s="129"/>
      <c r="C577" s="706"/>
      <c r="D577" s="707"/>
      <c r="E577" s="706"/>
      <c r="F577" s="707"/>
    </row>
    <row r="578" spans="1:6" x14ac:dyDescent="0.3">
      <c r="A578" s="129"/>
      <c r="C578" s="706"/>
      <c r="D578" s="707"/>
      <c r="E578" s="706"/>
      <c r="F578" s="707"/>
    </row>
    <row r="579" spans="1:6" x14ac:dyDescent="0.3">
      <c r="A579" s="129"/>
      <c r="C579" s="139"/>
      <c r="D579" s="139"/>
      <c r="E579" s="139"/>
      <c r="F579" s="139"/>
    </row>
    <row r="580" spans="1:6" ht="15.6" x14ac:dyDescent="0.3">
      <c r="A580" s="129"/>
      <c r="D580" s="130"/>
    </row>
    <row r="581" spans="1:6" ht="24" customHeight="1" x14ac:dyDescent="0.3">
      <c r="A581" s="129"/>
      <c r="C581" s="136" t="s">
        <v>328</v>
      </c>
      <c r="D581" s="137">
        <f>_o49</f>
        <v>0</v>
      </c>
      <c r="E581" s="138"/>
      <c r="F581" s="138"/>
    </row>
    <row r="582" spans="1:6" x14ac:dyDescent="0.3">
      <c r="A582" s="129"/>
    </row>
    <row r="583" spans="1:6" x14ac:dyDescent="0.3">
      <c r="A583" s="129"/>
      <c r="C583" s="139"/>
      <c r="D583" s="139" t="str">
        <f ca="1">' '!$A$168</f>
        <v>Description/Remarques</v>
      </c>
      <c r="E583" s="139"/>
      <c r="F583" s="139"/>
    </row>
    <row r="584" spans="1:6" x14ac:dyDescent="0.3">
      <c r="A584" s="129"/>
      <c r="C584" s="705"/>
      <c r="D584" s="705"/>
      <c r="E584" s="705"/>
      <c r="F584" s="705"/>
    </row>
    <row r="585" spans="1:6" x14ac:dyDescent="0.3">
      <c r="A585" s="129"/>
      <c r="C585" s="139"/>
      <c r="D585" s="139" t="str">
        <f ca="1">' '!$A$167</f>
        <v>Calcul</v>
      </c>
      <c r="E585" s="139"/>
      <c r="F585" s="139"/>
    </row>
    <row r="586" spans="1:6" x14ac:dyDescent="0.3">
      <c r="A586" s="129"/>
      <c r="C586" s="705"/>
      <c r="D586" s="705"/>
      <c r="E586" s="705" t="s">
        <v>375</v>
      </c>
      <c r="F586" s="705"/>
    </row>
    <row r="587" spans="1:6" x14ac:dyDescent="0.3">
      <c r="A587" s="129"/>
      <c r="C587" s="139"/>
      <c r="D587" s="140" t="str">
        <f ca="1">' '!$A$169</f>
        <v>Source</v>
      </c>
      <c r="E587" s="139" t="str">
        <f ca="1">' '!$A$170</f>
        <v>Moment de l'enquête &amp; Comparaison avec la branche</v>
      </c>
      <c r="F587" s="139"/>
    </row>
    <row r="588" spans="1:6" x14ac:dyDescent="0.3">
      <c r="A588" s="129"/>
      <c r="C588" s="706"/>
      <c r="D588" s="707"/>
      <c r="E588" s="706"/>
      <c r="F588" s="707"/>
    </row>
    <row r="589" spans="1:6" x14ac:dyDescent="0.3">
      <c r="A589" s="129"/>
      <c r="C589" s="706"/>
      <c r="D589" s="707"/>
      <c r="E589" s="706"/>
      <c r="F589" s="707"/>
    </row>
    <row r="590" spans="1:6" x14ac:dyDescent="0.3">
      <c r="A590" s="129"/>
      <c r="C590" s="706"/>
      <c r="D590" s="707"/>
      <c r="E590" s="706"/>
      <c r="F590" s="707"/>
    </row>
    <row r="591" spans="1:6" x14ac:dyDescent="0.3">
      <c r="A591" s="129"/>
      <c r="C591" s="139"/>
      <c r="D591" s="139"/>
      <c r="E591" s="139"/>
      <c r="F591" s="139"/>
    </row>
    <row r="592" spans="1:6" ht="15.6" x14ac:dyDescent="0.3">
      <c r="A592" s="129"/>
      <c r="D592" s="130"/>
    </row>
    <row r="593" spans="1:6" ht="24" customHeight="1" x14ac:dyDescent="0.3">
      <c r="A593" s="129"/>
      <c r="C593" s="136" t="s">
        <v>329</v>
      </c>
      <c r="D593" s="137">
        <f>_o50</f>
        <v>0</v>
      </c>
      <c r="E593" s="138"/>
      <c r="F593" s="138"/>
    </row>
    <row r="594" spans="1:6" x14ac:dyDescent="0.3">
      <c r="A594" s="129"/>
    </row>
    <row r="595" spans="1:6" x14ac:dyDescent="0.3">
      <c r="A595" s="129"/>
      <c r="C595" s="139"/>
      <c r="D595" s="139" t="str">
        <f ca="1">' '!$A$168</f>
        <v>Description/Remarques</v>
      </c>
      <c r="E595" s="139"/>
      <c r="F595" s="139"/>
    </row>
    <row r="596" spans="1:6" x14ac:dyDescent="0.3">
      <c r="A596" s="129"/>
      <c r="C596" s="705"/>
      <c r="D596" s="705"/>
      <c r="E596" s="705"/>
      <c r="F596" s="705"/>
    </row>
    <row r="597" spans="1:6" x14ac:dyDescent="0.3">
      <c r="A597" s="129"/>
      <c r="C597" s="139"/>
      <c r="D597" s="139" t="str">
        <f ca="1">' '!$A$167</f>
        <v>Calcul</v>
      </c>
      <c r="E597" s="139"/>
      <c r="F597" s="139"/>
    </row>
    <row r="598" spans="1:6" x14ac:dyDescent="0.3">
      <c r="A598" s="129"/>
      <c r="C598" s="705"/>
      <c r="D598" s="705"/>
      <c r="E598" s="705" t="s">
        <v>375</v>
      </c>
      <c r="F598" s="705"/>
    </row>
    <row r="599" spans="1:6" x14ac:dyDescent="0.3">
      <c r="A599" s="129"/>
      <c r="C599" s="139"/>
      <c r="D599" s="140" t="str">
        <f ca="1">' '!$A$169</f>
        <v>Source</v>
      </c>
      <c r="E599" s="139" t="str">
        <f ca="1">' '!$A$170</f>
        <v>Moment de l'enquête &amp; Comparaison avec la branche</v>
      </c>
      <c r="F599" s="139"/>
    </row>
    <row r="600" spans="1:6" x14ac:dyDescent="0.3">
      <c r="A600" s="129"/>
      <c r="C600" s="706"/>
      <c r="D600" s="707"/>
      <c r="E600" s="706"/>
      <c r="F600" s="707"/>
    </row>
    <row r="601" spans="1:6" x14ac:dyDescent="0.3">
      <c r="A601" s="129"/>
      <c r="C601" s="706"/>
      <c r="D601" s="707"/>
      <c r="E601" s="706"/>
      <c r="F601" s="707"/>
    </row>
    <row r="602" spans="1:6" x14ac:dyDescent="0.3">
      <c r="A602" s="129"/>
      <c r="C602" s="706"/>
      <c r="D602" s="707"/>
      <c r="E602" s="706"/>
      <c r="F602" s="707"/>
    </row>
    <row r="603" spans="1:6" x14ac:dyDescent="0.3">
      <c r="A603" s="129"/>
      <c r="C603" s="139"/>
      <c r="D603" s="139"/>
      <c r="E603" s="139"/>
      <c r="F603" s="139"/>
    </row>
    <row r="604" spans="1:6" ht="15.6" x14ac:dyDescent="0.3">
      <c r="A604" s="129"/>
      <c r="D604" s="130"/>
    </row>
    <row r="605" spans="1:6" ht="24" customHeight="1" x14ac:dyDescent="0.3">
      <c r="A605" s="129"/>
      <c r="C605" s="136" t="s">
        <v>331</v>
      </c>
      <c r="D605" s="137">
        <f>_o51</f>
        <v>0</v>
      </c>
      <c r="E605" s="138"/>
      <c r="F605" s="138"/>
    </row>
    <row r="606" spans="1:6" x14ac:dyDescent="0.3">
      <c r="A606" s="129"/>
    </row>
    <row r="607" spans="1:6" x14ac:dyDescent="0.3">
      <c r="A607" s="129"/>
      <c r="C607" s="139"/>
      <c r="D607" s="139" t="str">
        <f ca="1">' '!$A$168</f>
        <v>Description/Remarques</v>
      </c>
      <c r="E607" s="139"/>
      <c r="F607" s="139"/>
    </row>
    <row r="608" spans="1:6" x14ac:dyDescent="0.3">
      <c r="A608" s="129"/>
      <c r="C608" s="705"/>
      <c r="D608" s="705"/>
      <c r="E608" s="705"/>
      <c r="F608" s="705"/>
    </row>
    <row r="609" spans="1:6" x14ac:dyDescent="0.3">
      <c r="A609" s="129"/>
      <c r="C609" s="139"/>
      <c r="D609" s="139" t="str">
        <f ca="1">' '!$A$167</f>
        <v>Calcul</v>
      </c>
      <c r="E609" s="139"/>
      <c r="F609" s="139"/>
    </row>
    <row r="610" spans="1:6" x14ac:dyDescent="0.3">
      <c r="A610" s="129"/>
      <c r="C610" s="705"/>
      <c r="D610" s="705"/>
      <c r="E610" s="705" t="s">
        <v>375</v>
      </c>
      <c r="F610" s="705"/>
    </row>
    <row r="611" spans="1:6" x14ac:dyDescent="0.3">
      <c r="A611" s="129"/>
      <c r="C611" s="139"/>
      <c r="D611" s="140" t="str">
        <f ca="1">' '!$A$169</f>
        <v>Source</v>
      </c>
      <c r="E611" s="139" t="str">
        <f ca="1">' '!$A$170</f>
        <v>Moment de l'enquête &amp; Comparaison avec la branche</v>
      </c>
      <c r="F611" s="139"/>
    </row>
    <row r="612" spans="1:6" x14ac:dyDescent="0.3">
      <c r="A612" s="129"/>
      <c r="C612" s="706"/>
      <c r="D612" s="707"/>
      <c r="E612" s="706"/>
      <c r="F612" s="707"/>
    </row>
    <row r="613" spans="1:6" x14ac:dyDescent="0.3">
      <c r="A613" s="129"/>
      <c r="C613" s="706"/>
      <c r="D613" s="707"/>
      <c r="E613" s="706"/>
      <c r="F613" s="707"/>
    </row>
    <row r="614" spans="1:6" x14ac:dyDescent="0.3">
      <c r="A614" s="129"/>
      <c r="C614" s="706"/>
      <c r="D614" s="707"/>
      <c r="E614" s="706"/>
      <c r="F614" s="707"/>
    </row>
    <row r="615" spans="1:6" x14ac:dyDescent="0.3">
      <c r="A615" s="129"/>
      <c r="C615" s="139"/>
      <c r="D615" s="139"/>
      <c r="E615" s="139"/>
      <c r="F615" s="139"/>
    </row>
    <row r="616" spans="1:6" ht="15.6" x14ac:dyDescent="0.3">
      <c r="A616" s="129"/>
      <c r="D616" s="130"/>
    </row>
    <row r="617" spans="1:6" ht="24" customHeight="1" x14ac:dyDescent="0.3">
      <c r="A617" s="129"/>
      <c r="C617" s="136" t="s">
        <v>332</v>
      </c>
      <c r="D617" s="137">
        <f>_o52</f>
        <v>0</v>
      </c>
      <c r="E617" s="138"/>
      <c r="F617" s="138"/>
    </row>
    <row r="618" spans="1:6" x14ac:dyDescent="0.3">
      <c r="A618" s="129"/>
    </row>
    <row r="619" spans="1:6" x14ac:dyDescent="0.3">
      <c r="A619" s="129"/>
      <c r="C619" s="139"/>
      <c r="D619" s="139" t="str">
        <f ca="1">' '!$A$168</f>
        <v>Description/Remarques</v>
      </c>
      <c r="E619" s="139"/>
      <c r="F619" s="139"/>
    </row>
    <row r="620" spans="1:6" x14ac:dyDescent="0.3">
      <c r="A620" s="129"/>
      <c r="C620" s="705"/>
      <c r="D620" s="705"/>
      <c r="E620" s="705"/>
      <c r="F620" s="705"/>
    </row>
    <row r="621" spans="1:6" x14ac:dyDescent="0.3">
      <c r="A621" s="129"/>
      <c r="C621" s="139"/>
      <c r="D621" s="139" t="str">
        <f ca="1">' '!$A$167</f>
        <v>Calcul</v>
      </c>
      <c r="E621" s="139"/>
      <c r="F621" s="139"/>
    </row>
    <row r="622" spans="1:6" x14ac:dyDescent="0.3">
      <c r="A622" s="129"/>
      <c r="C622" s="705"/>
      <c r="D622" s="705"/>
      <c r="E622" s="705" t="s">
        <v>375</v>
      </c>
      <c r="F622" s="705"/>
    </row>
    <row r="623" spans="1:6" x14ac:dyDescent="0.3">
      <c r="A623" s="129"/>
      <c r="C623" s="139"/>
      <c r="D623" s="140" t="str">
        <f ca="1">' '!$A$169</f>
        <v>Source</v>
      </c>
      <c r="E623" s="139" t="str">
        <f ca="1">' '!$A$170</f>
        <v>Moment de l'enquête &amp; Comparaison avec la branche</v>
      </c>
      <c r="F623" s="139"/>
    </row>
    <row r="624" spans="1:6" x14ac:dyDescent="0.3">
      <c r="A624" s="129"/>
      <c r="C624" s="706"/>
      <c r="D624" s="707"/>
      <c r="E624" s="706"/>
      <c r="F624" s="707"/>
    </row>
    <row r="625" spans="1:6" x14ac:dyDescent="0.3">
      <c r="A625" s="129"/>
      <c r="C625" s="706"/>
      <c r="D625" s="707"/>
      <c r="E625" s="706"/>
      <c r="F625" s="707"/>
    </row>
    <row r="626" spans="1:6" x14ac:dyDescent="0.3">
      <c r="A626" s="129"/>
      <c r="C626" s="706"/>
      <c r="D626" s="707"/>
      <c r="E626" s="706"/>
      <c r="F626" s="707"/>
    </row>
    <row r="627" spans="1:6" x14ac:dyDescent="0.3">
      <c r="A627" s="129"/>
      <c r="C627" s="139"/>
      <c r="D627" s="139"/>
      <c r="E627" s="139"/>
      <c r="F627" s="139"/>
    </row>
    <row r="628" spans="1:6" ht="15.6" x14ac:dyDescent="0.3">
      <c r="A628" s="129"/>
      <c r="D628" s="130"/>
    </row>
    <row r="629" spans="1:6" ht="24" customHeight="1" x14ac:dyDescent="0.3">
      <c r="A629" s="129"/>
      <c r="C629" s="136" t="s">
        <v>334</v>
      </c>
      <c r="D629" s="137">
        <f>_o53</f>
        <v>0</v>
      </c>
      <c r="E629" s="138"/>
      <c r="F629" s="138"/>
    </row>
    <row r="630" spans="1:6" x14ac:dyDescent="0.3">
      <c r="A630" s="129"/>
    </row>
    <row r="631" spans="1:6" x14ac:dyDescent="0.3">
      <c r="A631" s="129"/>
      <c r="C631" s="139"/>
      <c r="D631" s="139" t="str">
        <f ca="1">' '!$A$168</f>
        <v>Description/Remarques</v>
      </c>
      <c r="E631" s="139"/>
      <c r="F631" s="139"/>
    </row>
    <row r="632" spans="1:6" x14ac:dyDescent="0.3">
      <c r="A632" s="129"/>
      <c r="C632" s="705"/>
      <c r="D632" s="705"/>
      <c r="E632" s="705"/>
      <c r="F632" s="705"/>
    </row>
    <row r="633" spans="1:6" x14ac:dyDescent="0.3">
      <c r="A633" s="129"/>
      <c r="C633" s="139"/>
      <c r="D633" s="139" t="str">
        <f ca="1">' '!$A$167</f>
        <v>Calcul</v>
      </c>
      <c r="E633" s="139"/>
      <c r="F633" s="139"/>
    </row>
    <row r="634" spans="1:6" x14ac:dyDescent="0.3">
      <c r="A634" s="129"/>
      <c r="C634" s="705"/>
      <c r="D634" s="705"/>
      <c r="E634" s="705" t="s">
        <v>375</v>
      </c>
      <c r="F634" s="705"/>
    </row>
    <row r="635" spans="1:6" x14ac:dyDescent="0.3">
      <c r="A635" s="129"/>
      <c r="C635" s="139"/>
      <c r="D635" s="140" t="str">
        <f ca="1">' '!$A$169</f>
        <v>Source</v>
      </c>
      <c r="E635" s="139" t="str">
        <f ca="1">' '!$A$170</f>
        <v>Moment de l'enquête &amp; Comparaison avec la branche</v>
      </c>
      <c r="F635" s="139"/>
    </row>
    <row r="636" spans="1:6" x14ac:dyDescent="0.3">
      <c r="A636" s="129"/>
      <c r="C636" s="706"/>
      <c r="D636" s="707"/>
      <c r="E636" s="706"/>
      <c r="F636" s="707"/>
    </row>
    <row r="637" spans="1:6" x14ac:dyDescent="0.3">
      <c r="A637" s="129"/>
      <c r="C637" s="706"/>
      <c r="D637" s="707"/>
      <c r="E637" s="706"/>
      <c r="F637" s="707"/>
    </row>
    <row r="638" spans="1:6" x14ac:dyDescent="0.3">
      <c r="A638" s="129"/>
      <c r="C638" s="706"/>
      <c r="D638" s="707"/>
      <c r="E638" s="706"/>
      <c r="F638" s="707"/>
    </row>
    <row r="639" spans="1:6" x14ac:dyDescent="0.3">
      <c r="A639" s="129"/>
      <c r="C639" s="139"/>
      <c r="D639" s="139"/>
      <c r="E639" s="139"/>
      <c r="F639" s="139"/>
    </row>
    <row r="640" spans="1:6" ht="15.6" x14ac:dyDescent="0.3">
      <c r="A640" s="129"/>
      <c r="D640" s="130"/>
    </row>
    <row r="641" spans="1:6" ht="24" customHeight="1" x14ac:dyDescent="0.3">
      <c r="A641" s="129"/>
      <c r="C641" s="136" t="s">
        <v>335</v>
      </c>
      <c r="D641" s="137">
        <f>_o54</f>
        <v>0</v>
      </c>
      <c r="E641" s="138"/>
      <c r="F641" s="138"/>
    </row>
    <row r="642" spans="1:6" x14ac:dyDescent="0.3">
      <c r="A642" s="129"/>
    </row>
    <row r="643" spans="1:6" x14ac:dyDescent="0.3">
      <c r="A643" s="129"/>
      <c r="C643" s="139"/>
      <c r="D643" s="139" t="str">
        <f ca="1">' '!$A$168</f>
        <v>Description/Remarques</v>
      </c>
      <c r="E643" s="139"/>
      <c r="F643" s="139"/>
    </row>
    <row r="644" spans="1:6" x14ac:dyDescent="0.3">
      <c r="A644" s="129"/>
      <c r="C644" s="705"/>
      <c r="D644" s="705"/>
      <c r="E644" s="705"/>
      <c r="F644" s="705"/>
    </row>
    <row r="645" spans="1:6" x14ac:dyDescent="0.3">
      <c r="A645" s="129"/>
      <c r="C645" s="139"/>
      <c r="D645" s="139" t="str">
        <f ca="1">' '!$A$167</f>
        <v>Calcul</v>
      </c>
      <c r="E645" s="139"/>
      <c r="F645" s="139"/>
    </row>
    <row r="646" spans="1:6" x14ac:dyDescent="0.3">
      <c r="A646" s="129"/>
      <c r="C646" s="705"/>
      <c r="D646" s="705"/>
      <c r="E646" s="705" t="s">
        <v>375</v>
      </c>
      <c r="F646" s="705"/>
    </row>
    <row r="647" spans="1:6" x14ac:dyDescent="0.3">
      <c r="A647" s="129"/>
      <c r="C647" s="139"/>
      <c r="D647" s="140" t="str">
        <f ca="1">' '!$A$169</f>
        <v>Source</v>
      </c>
      <c r="E647" s="139" t="str">
        <f ca="1">' '!$A$170</f>
        <v>Moment de l'enquête &amp; Comparaison avec la branche</v>
      </c>
      <c r="F647" s="139"/>
    </row>
    <row r="648" spans="1:6" x14ac:dyDescent="0.3">
      <c r="A648" s="129"/>
      <c r="C648" s="706"/>
      <c r="D648" s="707"/>
      <c r="E648" s="706"/>
      <c r="F648" s="707"/>
    </row>
    <row r="649" spans="1:6" x14ac:dyDescent="0.3">
      <c r="A649" s="129"/>
      <c r="C649" s="706"/>
      <c r="D649" s="707"/>
      <c r="E649" s="706"/>
      <c r="F649" s="707"/>
    </row>
    <row r="650" spans="1:6" x14ac:dyDescent="0.3">
      <c r="A650" s="129"/>
      <c r="C650" s="706"/>
      <c r="D650" s="707"/>
      <c r="E650" s="706"/>
      <c r="F650" s="707"/>
    </row>
    <row r="651" spans="1:6" x14ac:dyDescent="0.3">
      <c r="A651" s="129"/>
      <c r="C651" s="139"/>
      <c r="D651" s="139"/>
      <c r="E651" s="139"/>
      <c r="F651" s="139"/>
    </row>
    <row r="652" spans="1:6" ht="15.6" x14ac:dyDescent="0.3">
      <c r="A652" s="129"/>
      <c r="D652" s="130"/>
    </row>
    <row r="653" spans="1:6" ht="24" customHeight="1" x14ac:dyDescent="0.3">
      <c r="A653" s="129"/>
      <c r="C653" s="136" t="s">
        <v>337</v>
      </c>
      <c r="D653" s="137">
        <f>_o55</f>
        <v>0</v>
      </c>
      <c r="E653" s="138"/>
      <c r="F653" s="138"/>
    </row>
    <row r="654" spans="1:6" x14ac:dyDescent="0.3">
      <c r="A654" s="129"/>
    </row>
    <row r="655" spans="1:6" x14ac:dyDescent="0.3">
      <c r="A655" s="129"/>
      <c r="C655" s="139"/>
      <c r="D655" s="139" t="str">
        <f ca="1">' '!$A$168</f>
        <v>Description/Remarques</v>
      </c>
      <c r="E655" s="139"/>
      <c r="F655" s="139"/>
    </row>
    <row r="656" spans="1:6" x14ac:dyDescent="0.3">
      <c r="A656" s="129"/>
      <c r="C656" s="705"/>
      <c r="D656" s="705"/>
      <c r="E656" s="705"/>
      <c r="F656" s="705"/>
    </row>
    <row r="657" spans="1:6" x14ac:dyDescent="0.3">
      <c r="A657" s="129"/>
      <c r="C657" s="139"/>
      <c r="D657" s="139" t="str">
        <f ca="1">' '!$A$167</f>
        <v>Calcul</v>
      </c>
      <c r="E657" s="139"/>
      <c r="F657" s="139"/>
    </row>
    <row r="658" spans="1:6" x14ac:dyDescent="0.3">
      <c r="A658" s="129"/>
      <c r="C658" s="705"/>
      <c r="D658" s="705"/>
      <c r="E658" s="705" t="s">
        <v>375</v>
      </c>
      <c r="F658" s="705"/>
    </row>
    <row r="659" spans="1:6" x14ac:dyDescent="0.3">
      <c r="A659" s="129"/>
      <c r="C659" s="139"/>
      <c r="D659" s="140" t="str">
        <f ca="1">' '!$A$169</f>
        <v>Source</v>
      </c>
      <c r="E659" s="139" t="str">
        <f ca="1">' '!$A$170</f>
        <v>Moment de l'enquête &amp; Comparaison avec la branche</v>
      </c>
      <c r="F659" s="139"/>
    </row>
    <row r="660" spans="1:6" x14ac:dyDescent="0.3">
      <c r="A660" s="129"/>
      <c r="C660" s="706"/>
      <c r="D660" s="707"/>
      <c r="E660" s="706"/>
      <c r="F660" s="707"/>
    </row>
    <row r="661" spans="1:6" x14ac:dyDescent="0.3">
      <c r="A661" s="129"/>
      <c r="C661" s="706"/>
      <c r="D661" s="707"/>
      <c r="E661" s="706"/>
      <c r="F661" s="707"/>
    </row>
    <row r="662" spans="1:6" x14ac:dyDescent="0.3">
      <c r="A662" s="129"/>
      <c r="C662" s="706"/>
      <c r="D662" s="707"/>
      <c r="E662" s="706"/>
      <c r="F662" s="707"/>
    </row>
    <row r="663" spans="1:6" x14ac:dyDescent="0.3">
      <c r="A663" s="129"/>
      <c r="C663" s="139"/>
      <c r="D663" s="139"/>
      <c r="E663" s="139"/>
      <c r="F663" s="139"/>
    </row>
    <row r="664" spans="1:6" ht="15.6" x14ac:dyDescent="0.3">
      <c r="A664" s="129"/>
      <c r="D664" s="130"/>
    </row>
    <row r="665" spans="1:6" ht="24" customHeight="1" x14ac:dyDescent="0.3">
      <c r="A665" s="129"/>
      <c r="C665" s="136" t="s">
        <v>338</v>
      </c>
      <c r="D665" s="137">
        <f>_o56</f>
        <v>0</v>
      </c>
      <c r="E665" s="138"/>
      <c r="F665" s="138"/>
    </row>
    <row r="666" spans="1:6" x14ac:dyDescent="0.3">
      <c r="A666" s="129"/>
    </row>
    <row r="667" spans="1:6" x14ac:dyDescent="0.3">
      <c r="A667" s="129"/>
      <c r="C667" s="139"/>
      <c r="D667" s="139" t="str">
        <f ca="1">' '!$A$168</f>
        <v>Description/Remarques</v>
      </c>
      <c r="E667" s="139"/>
      <c r="F667" s="139"/>
    </row>
    <row r="668" spans="1:6" x14ac:dyDescent="0.3">
      <c r="A668" s="129"/>
      <c r="C668" s="705"/>
      <c r="D668" s="705"/>
      <c r="E668" s="705"/>
      <c r="F668" s="705"/>
    </row>
    <row r="669" spans="1:6" x14ac:dyDescent="0.3">
      <c r="A669" s="129"/>
      <c r="C669" s="139"/>
      <c r="D669" s="139" t="str">
        <f ca="1">' '!$A$167</f>
        <v>Calcul</v>
      </c>
      <c r="E669" s="139"/>
      <c r="F669" s="139"/>
    </row>
    <row r="670" spans="1:6" x14ac:dyDescent="0.3">
      <c r="A670" s="129"/>
      <c r="C670" s="705"/>
      <c r="D670" s="705"/>
      <c r="E670" s="705" t="s">
        <v>375</v>
      </c>
      <c r="F670" s="705"/>
    </row>
    <row r="671" spans="1:6" x14ac:dyDescent="0.3">
      <c r="A671" s="129"/>
      <c r="C671" s="139"/>
      <c r="D671" s="140" t="str">
        <f ca="1">' '!$A$169</f>
        <v>Source</v>
      </c>
      <c r="E671" s="139" t="str">
        <f ca="1">' '!$A$170</f>
        <v>Moment de l'enquête &amp; Comparaison avec la branche</v>
      </c>
      <c r="F671" s="139"/>
    </row>
    <row r="672" spans="1:6" x14ac:dyDescent="0.3">
      <c r="A672" s="129"/>
      <c r="C672" s="706"/>
      <c r="D672" s="707"/>
      <c r="E672" s="706"/>
      <c r="F672" s="707"/>
    </row>
    <row r="673" spans="1:6" x14ac:dyDescent="0.3">
      <c r="A673" s="129"/>
      <c r="C673" s="706"/>
      <c r="D673" s="707"/>
      <c r="E673" s="706"/>
      <c r="F673" s="707"/>
    </row>
    <row r="674" spans="1:6" x14ac:dyDescent="0.3">
      <c r="A674" s="129"/>
      <c r="C674" s="706"/>
      <c r="D674" s="707"/>
      <c r="E674" s="706"/>
      <c r="F674" s="707"/>
    </row>
    <row r="675" spans="1:6" x14ac:dyDescent="0.3">
      <c r="A675" s="129"/>
      <c r="C675" s="139"/>
      <c r="D675" s="139"/>
      <c r="E675" s="139"/>
      <c r="F675" s="139"/>
    </row>
    <row r="676" spans="1:6" ht="15.6" x14ac:dyDescent="0.3">
      <c r="A676" s="129"/>
      <c r="D676" s="130"/>
    </row>
    <row r="677" spans="1:6" ht="24" customHeight="1" x14ac:dyDescent="0.3">
      <c r="A677" s="129"/>
      <c r="C677" s="136" t="s">
        <v>340</v>
      </c>
      <c r="D677" s="137">
        <f>_o57</f>
        <v>0</v>
      </c>
      <c r="E677" s="138"/>
      <c r="F677" s="138"/>
    </row>
    <row r="678" spans="1:6" x14ac:dyDescent="0.3">
      <c r="A678" s="129"/>
    </row>
    <row r="679" spans="1:6" x14ac:dyDescent="0.3">
      <c r="A679" s="129"/>
      <c r="C679" s="139"/>
      <c r="D679" s="139" t="str">
        <f ca="1">' '!$A$168</f>
        <v>Description/Remarques</v>
      </c>
      <c r="E679" s="139"/>
      <c r="F679" s="139"/>
    </row>
    <row r="680" spans="1:6" x14ac:dyDescent="0.3">
      <c r="A680" s="129"/>
      <c r="C680" s="705"/>
      <c r="D680" s="705"/>
      <c r="E680" s="705"/>
      <c r="F680" s="705"/>
    </row>
    <row r="681" spans="1:6" x14ac:dyDescent="0.3">
      <c r="A681" s="129"/>
      <c r="C681" s="139"/>
      <c r="D681" s="139" t="str">
        <f ca="1">' '!$A$167</f>
        <v>Calcul</v>
      </c>
      <c r="E681" s="139"/>
      <c r="F681" s="139"/>
    </row>
    <row r="682" spans="1:6" x14ac:dyDescent="0.3">
      <c r="A682" s="129"/>
      <c r="C682" s="705"/>
      <c r="D682" s="705"/>
      <c r="E682" s="705" t="s">
        <v>375</v>
      </c>
      <c r="F682" s="705"/>
    </row>
    <row r="683" spans="1:6" x14ac:dyDescent="0.3">
      <c r="A683" s="129"/>
      <c r="C683" s="139"/>
      <c r="D683" s="140" t="str">
        <f ca="1">' '!$A$169</f>
        <v>Source</v>
      </c>
      <c r="E683" s="139" t="str">
        <f ca="1">' '!$A$170</f>
        <v>Moment de l'enquête &amp; Comparaison avec la branche</v>
      </c>
      <c r="F683" s="139"/>
    </row>
    <row r="684" spans="1:6" x14ac:dyDescent="0.3">
      <c r="A684" s="129"/>
      <c r="C684" s="706"/>
      <c r="D684" s="707"/>
      <c r="E684" s="706"/>
      <c r="F684" s="707"/>
    </row>
    <row r="685" spans="1:6" x14ac:dyDescent="0.3">
      <c r="A685" s="129"/>
      <c r="C685" s="706"/>
      <c r="D685" s="707"/>
      <c r="E685" s="706"/>
      <c r="F685" s="707"/>
    </row>
    <row r="686" spans="1:6" x14ac:dyDescent="0.3">
      <c r="A686" s="129"/>
      <c r="C686" s="706"/>
      <c r="D686" s="707"/>
      <c r="E686" s="706"/>
      <c r="F686" s="707"/>
    </row>
    <row r="687" spans="1:6" x14ac:dyDescent="0.3">
      <c r="A687" s="129"/>
      <c r="C687" s="139"/>
      <c r="D687" s="139"/>
      <c r="E687" s="139"/>
      <c r="F687" s="139"/>
    </row>
    <row r="688" spans="1:6" ht="15.6" x14ac:dyDescent="0.3">
      <c r="A688" s="129"/>
      <c r="D688" s="130"/>
    </row>
    <row r="689" spans="1:6" ht="24" customHeight="1" x14ac:dyDescent="0.3">
      <c r="A689" s="129"/>
      <c r="C689" s="136" t="s">
        <v>341</v>
      </c>
      <c r="D689" s="137">
        <f>_o58</f>
        <v>0</v>
      </c>
      <c r="E689" s="138"/>
      <c r="F689" s="138"/>
    </row>
    <row r="690" spans="1:6" x14ac:dyDescent="0.3">
      <c r="A690" s="129"/>
    </row>
    <row r="691" spans="1:6" x14ac:dyDescent="0.3">
      <c r="A691" s="129"/>
      <c r="C691" s="139"/>
      <c r="D691" s="139" t="str">
        <f ca="1">' '!$A$168</f>
        <v>Description/Remarques</v>
      </c>
      <c r="E691" s="139"/>
      <c r="F691" s="139"/>
    </row>
    <row r="692" spans="1:6" x14ac:dyDescent="0.3">
      <c r="A692" s="129"/>
      <c r="C692" s="705"/>
      <c r="D692" s="705"/>
      <c r="E692" s="705"/>
      <c r="F692" s="705"/>
    </row>
    <row r="693" spans="1:6" x14ac:dyDescent="0.3">
      <c r="A693" s="129"/>
      <c r="C693" s="139"/>
      <c r="D693" s="139" t="str">
        <f ca="1">' '!$A$167</f>
        <v>Calcul</v>
      </c>
      <c r="E693" s="139"/>
      <c r="F693" s="139"/>
    </row>
    <row r="694" spans="1:6" x14ac:dyDescent="0.3">
      <c r="A694" s="129"/>
      <c r="C694" s="705"/>
      <c r="D694" s="705"/>
      <c r="E694" s="705" t="s">
        <v>375</v>
      </c>
      <c r="F694" s="705"/>
    </row>
    <row r="695" spans="1:6" x14ac:dyDescent="0.3">
      <c r="A695" s="129"/>
      <c r="C695" s="139"/>
      <c r="D695" s="140" t="str">
        <f ca="1">' '!$A$169</f>
        <v>Source</v>
      </c>
      <c r="E695" s="139" t="str">
        <f ca="1">' '!$A$170</f>
        <v>Moment de l'enquête &amp; Comparaison avec la branche</v>
      </c>
      <c r="F695" s="139"/>
    </row>
    <row r="696" spans="1:6" x14ac:dyDescent="0.3">
      <c r="A696" s="129"/>
      <c r="C696" s="706"/>
      <c r="D696" s="707"/>
      <c r="E696" s="706"/>
      <c r="F696" s="707"/>
    </row>
    <row r="697" spans="1:6" x14ac:dyDescent="0.3">
      <c r="A697" s="129"/>
      <c r="C697" s="706"/>
      <c r="D697" s="707"/>
      <c r="E697" s="706"/>
      <c r="F697" s="707"/>
    </row>
    <row r="698" spans="1:6" x14ac:dyDescent="0.3">
      <c r="A698" s="129"/>
      <c r="C698" s="706"/>
      <c r="D698" s="707"/>
      <c r="E698" s="706"/>
      <c r="F698" s="707"/>
    </row>
    <row r="699" spans="1:6" x14ac:dyDescent="0.3">
      <c r="A699" s="129"/>
      <c r="C699" s="139"/>
      <c r="D699" s="139"/>
      <c r="E699" s="139"/>
      <c r="F699" s="139"/>
    </row>
    <row r="700" spans="1:6" ht="15.6" x14ac:dyDescent="0.3">
      <c r="A700" s="129"/>
      <c r="D700" s="130"/>
    </row>
    <row r="701" spans="1:6" ht="24" customHeight="1" x14ac:dyDescent="0.3">
      <c r="A701" s="129"/>
      <c r="C701" s="136" t="s">
        <v>343</v>
      </c>
      <c r="D701" s="137">
        <f>_o59</f>
        <v>0</v>
      </c>
      <c r="E701" s="138"/>
      <c r="F701" s="138"/>
    </row>
    <row r="702" spans="1:6" x14ac:dyDescent="0.3">
      <c r="A702" s="129"/>
    </row>
    <row r="703" spans="1:6" x14ac:dyDescent="0.3">
      <c r="A703" s="129"/>
      <c r="C703" s="139"/>
      <c r="D703" s="139" t="str">
        <f ca="1">' '!$A$168</f>
        <v>Description/Remarques</v>
      </c>
      <c r="E703" s="139"/>
      <c r="F703" s="139"/>
    </row>
    <row r="704" spans="1:6" x14ac:dyDescent="0.3">
      <c r="A704" s="129"/>
      <c r="C704" s="705"/>
      <c r="D704" s="705"/>
      <c r="E704" s="705"/>
      <c r="F704" s="705"/>
    </row>
    <row r="705" spans="1:6" x14ac:dyDescent="0.3">
      <c r="A705" s="129"/>
      <c r="C705" s="139"/>
      <c r="D705" s="139" t="str">
        <f ca="1">' '!$A$167</f>
        <v>Calcul</v>
      </c>
      <c r="E705" s="139"/>
      <c r="F705" s="139"/>
    </row>
    <row r="706" spans="1:6" x14ac:dyDescent="0.3">
      <c r="A706" s="129"/>
      <c r="C706" s="705"/>
      <c r="D706" s="705"/>
      <c r="E706" s="705" t="s">
        <v>375</v>
      </c>
      <c r="F706" s="705"/>
    </row>
    <row r="707" spans="1:6" x14ac:dyDescent="0.3">
      <c r="A707" s="129"/>
      <c r="C707" s="139"/>
      <c r="D707" s="140" t="str">
        <f ca="1">' '!$A$169</f>
        <v>Source</v>
      </c>
      <c r="E707" s="139" t="str">
        <f ca="1">' '!$A$170</f>
        <v>Moment de l'enquête &amp; Comparaison avec la branche</v>
      </c>
      <c r="F707" s="139"/>
    </row>
    <row r="708" spans="1:6" x14ac:dyDescent="0.3">
      <c r="A708" s="129"/>
      <c r="C708" s="706"/>
      <c r="D708" s="707"/>
      <c r="E708" s="706"/>
      <c r="F708" s="707"/>
    </row>
    <row r="709" spans="1:6" x14ac:dyDescent="0.3">
      <c r="A709" s="129"/>
      <c r="C709" s="706"/>
      <c r="D709" s="707"/>
      <c r="E709" s="706"/>
      <c r="F709" s="707"/>
    </row>
    <row r="710" spans="1:6" x14ac:dyDescent="0.3">
      <c r="A710" s="129"/>
      <c r="C710" s="706"/>
      <c r="D710" s="707"/>
      <c r="E710" s="706"/>
      <c r="F710" s="707"/>
    </row>
    <row r="711" spans="1:6" x14ac:dyDescent="0.3">
      <c r="A711" s="129"/>
      <c r="C711" s="139"/>
      <c r="D711" s="139"/>
      <c r="E711" s="139"/>
      <c r="F711" s="139"/>
    </row>
    <row r="712" spans="1:6" ht="15.6" x14ac:dyDescent="0.3">
      <c r="A712" s="129"/>
      <c r="D712" s="130"/>
    </row>
    <row r="713" spans="1:6" ht="24" customHeight="1" x14ac:dyDescent="0.3">
      <c r="A713" s="129"/>
      <c r="C713" s="136" t="s">
        <v>344</v>
      </c>
      <c r="D713" s="137">
        <f>_o60</f>
        <v>0</v>
      </c>
      <c r="E713" s="138"/>
      <c r="F713" s="138"/>
    </row>
    <row r="714" spans="1:6" x14ac:dyDescent="0.3">
      <c r="A714" s="129"/>
    </row>
    <row r="715" spans="1:6" x14ac:dyDescent="0.3">
      <c r="A715" s="129"/>
      <c r="C715" s="139"/>
      <c r="D715" s="139" t="str">
        <f ca="1">' '!$A$168</f>
        <v>Description/Remarques</v>
      </c>
      <c r="E715" s="139"/>
      <c r="F715" s="139"/>
    </row>
    <row r="716" spans="1:6" x14ac:dyDescent="0.3">
      <c r="A716" s="129"/>
      <c r="C716" s="705"/>
      <c r="D716" s="705"/>
      <c r="E716" s="705"/>
      <c r="F716" s="705"/>
    </row>
    <row r="717" spans="1:6" x14ac:dyDescent="0.3">
      <c r="A717" s="129"/>
      <c r="C717" s="139"/>
      <c r="D717" s="139" t="str">
        <f ca="1">' '!$A$167</f>
        <v>Calcul</v>
      </c>
      <c r="E717" s="139"/>
      <c r="F717" s="139"/>
    </row>
    <row r="718" spans="1:6" x14ac:dyDescent="0.3">
      <c r="A718" s="129"/>
      <c r="C718" s="705"/>
      <c r="D718" s="705"/>
      <c r="E718" s="705" t="s">
        <v>375</v>
      </c>
      <c r="F718" s="705"/>
    </row>
    <row r="719" spans="1:6" x14ac:dyDescent="0.3">
      <c r="A719" s="129"/>
      <c r="C719" s="139"/>
      <c r="D719" s="140" t="str">
        <f ca="1">' '!$A$169</f>
        <v>Source</v>
      </c>
      <c r="E719" s="139" t="str">
        <f ca="1">' '!$A$170</f>
        <v>Moment de l'enquête &amp; Comparaison avec la branche</v>
      </c>
      <c r="F719" s="139"/>
    </row>
    <row r="720" spans="1:6" x14ac:dyDescent="0.3">
      <c r="A720" s="129"/>
      <c r="C720" s="706"/>
      <c r="D720" s="707"/>
      <c r="E720" s="706"/>
      <c r="F720" s="707"/>
    </row>
    <row r="721" spans="1:6" x14ac:dyDescent="0.3">
      <c r="A721" s="129"/>
      <c r="C721" s="706"/>
      <c r="D721" s="707"/>
      <c r="E721" s="706"/>
      <c r="F721" s="707"/>
    </row>
    <row r="722" spans="1:6" x14ac:dyDescent="0.3">
      <c r="A722" s="129"/>
      <c r="C722" s="706"/>
      <c r="D722" s="707"/>
      <c r="E722" s="706"/>
      <c r="F722" s="707"/>
    </row>
    <row r="723" spans="1:6" x14ac:dyDescent="0.3">
      <c r="A723" s="129"/>
      <c r="C723" s="139"/>
      <c r="D723" s="139"/>
      <c r="E723" s="139"/>
      <c r="F723" s="139"/>
    </row>
    <row r="724" spans="1:6" ht="15.6" x14ac:dyDescent="0.3">
      <c r="A724" s="129"/>
      <c r="D724" s="130"/>
    </row>
    <row r="725" spans="1:6" ht="24" customHeight="1" x14ac:dyDescent="0.3">
      <c r="A725" s="129"/>
      <c r="C725" s="136" t="s">
        <v>346</v>
      </c>
      <c r="D725" s="137">
        <f>_o61</f>
        <v>0</v>
      </c>
      <c r="E725" s="138"/>
      <c r="F725" s="138"/>
    </row>
    <row r="726" spans="1:6" x14ac:dyDescent="0.3">
      <c r="A726" s="129"/>
    </row>
    <row r="727" spans="1:6" x14ac:dyDescent="0.3">
      <c r="A727" s="129"/>
      <c r="C727" s="139"/>
      <c r="D727" s="139" t="str">
        <f ca="1">' '!$A$168</f>
        <v>Description/Remarques</v>
      </c>
      <c r="E727" s="139"/>
      <c r="F727" s="139"/>
    </row>
    <row r="728" spans="1:6" x14ac:dyDescent="0.3">
      <c r="A728" s="129"/>
      <c r="C728" s="705"/>
      <c r="D728" s="705"/>
      <c r="E728" s="705"/>
      <c r="F728" s="705"/>
    </row>
    <row r="729" spans="1:6" x14ac:dyDescent="0.3">
      <c r="A729" s="129"/>
      <c r="C729" s="139"/>
      <c r="D729" s="139" t="str">
        <f ca="1">' '!$A$167</f>
        <v>Calcul</v>
      </c>
      <c r="E729" s="139"/>
      <c r="F729" s="139"/>
    </row>
    <row r="730" spans="1:6" x14ac:dyDescent="0.3">
      <c r="A730" s="129"/>
      <c r="C730" s="705"/>
      <c r="D730" s="705"/>
      <c r="E730" s="705" t="s">
        <v>375</v>
      </c>
      <c r="F730" s="705"/>
    </row>
    <row r="731" spans="1:6" x14ac:dyDescent="0.3">
      <c r="A731" s="129"/>
      <c r="C731" s="139"/>
      <c r="D731" s="140" t="str">
        <f ca="1">' '!$A$169</f>
        <v>Source</v>
      </c>
      <c r="E731" s="139" t="str">
        <f ca="1">' '!$A$170</f>
        <v>Moment de l'enquête &amp; Comparaison avec la branche</v>
      </c>
      <c r="F731" s="139"/>
    </row>
    <row r="732" spans="1:6" x14ac:dyDescent="0.3">
      <c r="A732" s="129"/>
      <c r="C732" s="706"/>
      <c r="D732" s="707"/>
      <c r="E732" s="706"/>
      <c r="F732" s="707"/>
    </row>
    <row r="733" spans="1:6" x14ac:dyDescent="0.3">
      <c r="A733" s="129"/>
      <c r="C733" s="706"/>
      <c r="D733" s="707"/>
      <c r="E733" s="706"/>
      <c r="F733" s="707"/>
    </row>
    <row r="734" spans="1:6" x14ac:dyDescent="0.3">
      <c r="A734" s="129"/>
      <c r="C734" s="706"/>
      <c r="D734" s="707"/>
      <c r="E734" s="706"/>
      <c r="F734" s="707"/>
    </row>
    <row r="735" spans="1:6" x14ac:dyDescent="0.3">
      <c r="A735" s="129"/>
      <c r="C735" s="139"/>
      <c r="D735" s="139"/>
      <c r="E735" s="139"/>
      <c r="F735" s="139"/>
    </row>
    <row r="736" spans="1:6" ht="15.6" x14ac:dyDescent="0.3">
      <c r="A736" s="129"/>
      <c r="D736" s="130"/>
    </row>
    <row r="737" spans="1:6" ht="24" customHeight="1" x14ac:dyDescent="0.3">
      <c r="A737" s="129"/>
      <c r="C737" s="136" t="s">
        <v>347</v>
      </c>
      <c r="D737" s="137">
        <f>_o62</f>
        <v>0</v>
      </c>
      <c r="E737" s="138"/>
      <c r="F737" s="138"/>
    </row>
    <row r="738" spans="1:6" x14ac:dyDescent="0.3">
      <c r="A738" s="129"/>
    </row>
    <row r="739" spans="1:6" x14ac:dyDescent="0.3">
      <c r="A739" s="129"/>
      <c r="C739" s="139"/>
      <c r="D739" s="139" t="str">
        <f ca="1">' '!$A$168</f>
        <v>Description/Remarques</v>
      </c>
      <c r="E739" s="139"/>
      <c r="F739" s="139"/>
    </row>
    <row r="740" spans="1:6" x14ac:dyDescent="0.3">
      <c r="A740" s="129"/>
      <c r="C740" s="705"/>
      <c r="D740" s="705"/>
      <c r="E740" s="705"/>
      <c r="F740" s="705"/>
    </row>
    <row r="741" spans="1:6" x14ac:dyDescent="0.3">
      <c r="A741" s="129"/>
      <c r="C741" s="139"/>
      <c r="D741" s="139" t="str">
        <f ca="1">' '!$A$167</f>
        <v>Calcul</v>
      </c>
      <c r="E741" s="139"/>
      <c r="F741" s="139"/>
    </row>
    <row r="742" spans="1:6" x14ac:dyDescent="0.3">
      <c r="A742" s="129"/>
      <c r="C742" s="705"/>
      <c r="D742" s="705"/>
      <c r="E742" s="705" t="s">
        <v>375</v>
      </c>
      <c r="F742" s="705"/>
    </row>
    <row r="743" spans="1:6" x14ac:dyDescent="0.3">
      <c r="A743" s="129"/>
      <c r="C743" s="139"/>
      <c r="D743" s="140" t="str">
        <f ca="1">' '!$A$169</f>
        <v>Source</v>
      </c>
      <c r="E743" s="139" t="str">
        <f ca="1">' '!$A$170</f>
        <v>Moment de l'enquête &amp; Comparaison avec la branche</v>
      </c>
      <c r="F743" s="139"/>
    </row>
    <row r="744" spans="1:6" x14ac:dyDescent="0.3">
      <c r="A744" s="129"/>
      <c r="C744" s="706"/>
      <c r="D744" s="707"/>
      <c r="E744" s="706"/>
      <c r="F744" s="707"/>
    </row>
    <row r="745" spans="1:6" x14ac:dyDescent="0.3">
      <c r="A745" s="129"/>
      <c r="C745" s="706"/>
      <c r="D745" s="707"/>
      <c r="E745" s="706"/>
      <c r="F745" s="707"/>
    </row>
    <row r="746" spans="1:6" x14ac:dyDescent="0.3">
      <c r="A746" s="129"/>
      <c r="C746" s="706"/>
      <c r="D746" s="707"/>
      <c r="E746" s="706"/>
      <c r="F746" s="707"/>
    </row>
    <row r="747" spans="1:6" x14ac:dyDescent="0.3">
      <c r="A747" s="129"/>
      <c r="C747" s="139"/>
      <c r="D747" s="139"/>
      <c r="E747" s="139"/>
      <c r="F747" s="139"/>
    </row>
    <row r="748" spans="1:6" ht="15.6" x14ac:dyDescent="0.3">
      <c r="A748" s="129"/>
      <c r="D748" s="130"/>
    </row>
    <row r="749" spans="1:6" ht="24" customHeight="1" x14ac:dyDescent="0.3">
      <c r="A749" s="129"/>
      <c r="C749" s="136" t="s">
        <v>349</v>
      </c>
      <c r="D749" s="137">
        <f>_o63</f>
        <v>0</v>
      </c>
      <c r="E749" s="138"/>
      <c r="F749" s="138"/>
    </row>
    <row r="750" spans="1:6" x14ac:dyDescent="0.3">
      <c r="A750" s="129"/>
    </row>
    <row r="751" spans="1:6" x14ac:dyDescent="0.3">
      <c r="A751" s="129"/>
      <c r="C751" s="139"/>
      <c r="D751" s="139" t="str">
        <f ca="1">' '!$A$168</f>
        <v>Description/Remarques</v>
      </c>
      <c r="E751" s="139"/>
      <c r="F751" s="139"/>
    </row>
    <row r="752" spans="1:6" x14ac:dyDescent="0.3">
      <c r="A752" s="129"/>
      <c r="C752" s="705"/>
      <c r="D752" s="705"/>
      <c r="E752" s="705"/>
      <c r="F752" s="705"/>
    </row>
    <row r="753" spans="1:6" x14ac:dyDescent="0.3">
      <c r="A753" s="129"/>
      <c r="C753" s="139"/>
      <c r="D753" s="139" t="str">
        <f ca="1">' '!$A$167</f>
        <v>Calcul</v>
      </c>
      <c r="E753" s="139"/>
      <c r="F753" s="139"/>
    </row>
    <row r="754" spans="1:6" x14ac:dyDescent="0.3">
      <c r="A754" s="129"/>
      <c r="C754" s="705"/>
      <c r="D754" s="705"/>
      <c r="E754" s="705" t="s">
        <v>375</v>
      </c>
      <c r="F754" s="705"/>
    </row>
    <row r="755" spans="1:6" x14ac:dyDescent="0.3">
      <c r="A755" s="129"/>
      <c r="C755" s="139"/>
      <c r="D755" s="140" t="str">
        <f ca="1">' '!$A$169</f>
        <v>Source</v>
      </c>
      <c r="E755" s="139" t="str">
        <f ca="1">' '!$A$170</f>
        <v>Moment de l'enquête &amp; Comparaison avec la branche</v>
      </c>
      <c r="F755" s="139"/>
    </row>
    <row r="756" spans="1:6" x14ac:dyDescent="0.3">
      <c r="A756" s="129"/>
      <c r="C756" s="706"/>
      <c r="D756" s="707"/>
      <c r="E756" s="706"/>
      <c r="F756" s="707"/>
    </row>
    <row r="757" spans="1:6" x14ac:dyDescent="0.3">
      <c r="A757" s="129"/>
      <c r="C757" s="706"/>
      <c r="D757" s="707"/>
      <c r="E757" s="706"/>
      <c r="F757" s="707"/>
    </row>
    <row r="758" spans="1:6" x14ac:dyDescent="0.3">
      <c r="A758" s="129"/>
      <c r="C758" s="706"/>
      <c r="D758" s="707"/>
      <c r="E758" s="706"/>
      <c r="F758" s="707"/>
    </row>
    <row r="759" spans="1:6" x14ac:dyDescent="0.3">
      <c r="A759" s="129"/>
      <c r="C759" s="139"/>
      <c r="D759" s="139"/>
      <c r="E759" s="139"/>
      <c r="F759" s="139"/>
    </row>
    <row r="760" spans="1:6" ht="15.6" x14ac:dyDescent="0.3">
      <c r="A760" s="129"/>
      <c r="D760" s="130"/>
    </row>
    <row r="761" spans="1:6" ht="24" customHeight="1" x14ac:dyDescent="0.3">
      <c r="A761" s="129"/>
      <c r="C761" s="136" t="s">
        <v>350</v>
      </c>
      <c r="D761" s="137">
        <f>_o64</f>
        <v>0</v>
      </c>
      <c r="E761" s="138"/>
      <c r="F761" s="138"/>
    </row>
    <row r="762" spans="1:6" x14ac:dyDescent="0.3">
      <c r="A762" s="129"/>
    </row>
    <row r="763" spans="1:6" x14ac:dyDescent="0.3">
      <c r="A763" s="129"/>
      <c r="C763" s="139"/>
      <c r="D763" s="139" t="str">
        <f ca="1">' '!$A$168</f>
        <v>Description/Remarques</v>
      </c>
      <c r="E763" s="139"/>
      <c r="F763" s="139"/>
    </row>
    <row r="764" spans="1:6" x14ac:dyDescent="0.3">
      <c r="A764" s="129"/>
      <c r="C764" s="705"/>
      <c r="D764" s="705"/>
      <c r="E764" s="705"/>
      <c r="F764" s="705"/>
    </row>
    <row r="765" spans="1:6" x14ac:dyDescent="0.3">
      <c r="A765" s="129"/>
      <c r="C765" s="139"/>
      <c r="D765" s="139" t="str">
        <f ca="1">' '!$A$167</f>
        <v>Calcul</v>
      </c>
      <c r="E765" s="139"/>
      <c r="F765" s="139"/>
    </row>
    <row r="766" spans="1:6" x14ac:dyDescent="0.3">
      <c r="A766" s="129"/>
      <c r="C766" s="705"/>
      <c r="D766" s="705"/>
      <c r="E766" s="705" t="s">
        <v>375</v>
      </c>
      <c r="F766" s="705"/>
    </row>
    <row r="767" spans="1:6" x14ac:dyDescent="0.3">
      <c r="A767" s="129"/>
      <c r="C767" s="139"/>
      <c r="D767" s="140" t="str">
        <f ca="1">' '!$A$169</f>
        <v>Source</v>
      </c>
      <c r="E767" s="139" t="str">
        <f ca="1">' '!$A$170</f>
        <v>Moment de l'enquête &amp; Comparaison avec la branche</v>
      </c>
      <c r="F767" s="139"/>
    </row>
    <row r="768" spans="1:6" x14ac:dyDescent="0.3">
      <c r="A768" s="129"/>
      <c r="C768" s="706"/>
      <c r="D768" s="707"/>
      <c r="E768" s="706"/>
      <c r="F768" s="707"/>
    </row>
    <row r="769" spans="1:6" x14ac:dyDescent="0.3">
      <c r="A769" s="129"/>
      <c r="C769" s="706"/>
      <c r="D769" s="707"/>
      <c r="E769" s="706"/>
      <c r="F769" s="707"/>
    </row>
    <row r="770" spans="1:6" x14ac:dyDescent="0.3">
      <c r="A770" s="129"/>
      <c r="C770" s="706"/>
      <c r="D770" s="707"/>
      <c r="E770" s="706"/>
      <c r="F770" s="707"/>
    </row>
    <row r="771" spans="1:6" x14ac:dyDescent="0.3">
      <c r="A771" s="129"/>
      <c r="C771" s="139"/>
      <c r="D771" s="139"/>
      <c r="E771" s="139"/>
      <c r="F771" s="139"/>
    </row>
    <row r="772" spans="1:6" ht="15.6" x14ac:dyDescent="0.3">
      <c r="A772" s="129"/>
      <c r="D772" s="130"/>
    </row>
    <row r="773" spans="1:6" ht="24" customHeight="1" x14ac:dyDescent="0.3">
      <c r="A773" s="129"/>
      <c r="C773" s="136" t="s">
        <v>352</v>
      </c>
      <c r="D773" s="137">
        <f>_o65</f>
        <v>0</v>
      </c>
      <c r="E773" s="138"/>
      <c r="F773" s="138"/>
    </row>
    <row r="774" spans="1:6" x14ac:dyDescent="0.3">
      <c r="A774" s="129"/>
    </row>
    <row r="775" spans="1:6" x14ac:dyDescent="0.3">
      <c r="A775" s="129"/>
      <c r="C775" s="139"/>
      <c r="D775" s="139" t="str">
        <f ca="1">' '!$A$168</f>
        <v>Description/Remarques</v>
      </c>
      <c r="E775" s="139"/>
      <c r="F775" s="139"/>
    </row>
    <row r="776" spans="1:6" x14ac:dyDescent="0.3">
      <c r="A776" s="129"/>
      <c r="C776" s="705"/>
      <c r="D776" s="705"/>
      <c r="E776" s="705"/>
      <c r="F776" s="705"/>
    </row>
    <row r="777" spans="1:6" x14ac:dyDescent="0.3">
      <c r="A777" s="129"/>
      <c r="C777" s="139"/>
      <c r="D777" s="139" t="str">
        <f ca="1">' '!$A$167</f>
        <v>Calcul</v>
      </c>
      <c r="E777" s="139"/>
      <c r="F777" s="139"/>
    </row>
    <row r="778" spans="1:6" x14ac:dyDescent="0.3">
      <c r="A778" s="129"/>
      <c r="C778" s="705"/>
      <c r="D778" s="705"/>
      <c r="E778" s="705" t="s">
        <v>375</v>
      </c>
      <c r="F778" s="705"/>
    </row>
    <row r="779" spans="1:6" x14ac:dyDescent="0.3">
      <c r="A779" s="129"/>
      <c r="C779" s="139"/>
      <c r="D779" s="140" t="str">
        <f ca="1">' '!$A$169</f>
        <v>Source</v>
      </c>
      <c r="E779" s="139" t="str">
        <f ca="1">' '!$A$170</f>
        <v>Moment de l'enquête &amp; Comparaison avec la branche</v>
      </c>
      <c r="F779" s="139"/>
    </row>
    <row r="780" spans="1:6" x14ac:dyDescent="0.3">
      <c r="A780" s="129"/>
      <c r="C780" s="706"/>
      <c r="D780" s="707"/>
      <c r="E780" s="706"/>
      <c r="F780" s="707"/>
    </row>
    <row r="781" spans="1:6" x14ac:dyDescent="0.3">
      <c r="A781" s="129"/>
      <c r="C781" s="706"/>
      <c r="D781" s="707"/>
      <c r="E781" s="706"/>
      <c r="F781" s="707"/>
    </row>
    <row r="782" spans="1:6" x14ac:dyDescent="0.3">
      <c r="A782" s="129"/>
      <c r="C782" s="706"/>
      <c r="D782" s="707"/>
      <c r="E782" s="706"/>
      <c r="F782" s="707"/>
    </row>
    <row r="783" spans="1:6" x14ac:dyDescent="0.3">
      <c r="A783" s="129"/>
      <c r="C783" s="139"/>
      <c r="D783" s="139"/>
      <c r="E783" s="139"/>
      <c r="F783" s="139"/>
    </row>
    <row r="784" spans="1:6" ht="15.6" x14ac:dyDescent="0.3">
      <c r="A784" s="129"/>
      <c r="D784" s="130"/>
    </row>
    <row r="785" spans="1:6" ht="24" customHeight="1" x14ac:dyDescent="0.3">
      <c r="A785" s="129"/>
      <c r="C785" s="136" t="s">
        <v>353</v>
      </c>
      <c r="D785" s="137">
        <f>_o66</f>
        <v>0</v>
      </c>
      <c r="E785" s="138"/>
      <c r="F785" s="138"/>
    </row>
    <row r="786" spans="1:6" x14ac:dyDescent="0.3">
      <c r="A786" s="129"/>
    </row>
    <row r="787" spans="1:6" x14ac:dyDescent="0.3">
      <c r="A787" s="129"/>
      <c r="C787" s="139"/>
      <c r="D787" s="139" t="str">
        <f ca="1">' '!$A$168</f>
        <v>Description/Remarques</v>
      </c>
      <c r="E787" s="139"/>
      <c r="F787" s="139"/>
    </row>
    <row r="788" spans="1:6" x14ac:dyDescent="0.3">
      <c r="A788" s="129"/>
      <c r="C788" s="705"/>
      <c r="D788" s="705"/>
      <c r="E788" s="705"/>
      <c r="F788" s="705"/>
    </row>
    <row r="789" spans="1:6" x14ac:dyDescent="0.3">
      <c r="A789" s="129"/>
      <c r="C789" s="139"/>
      <c r="D789" s="139" t="str">
        <f ca="1">' '!$A$167</f>
        <v>Calcul</v>
      </c>
      <c r="E789" s="139"/>
      <c r="F789" s="139"/>
    </row>
    <row r="790" spans="1:6" x14ac:dyDescent="0.3">
      <c r="A790" s="129"/>
      <c r="C790" s="705"/>
      <c r="D790" s="705"/>
      <c r="E790" s="705" t="s">
        <v>375</v>
      </c>
      <c r="F790" s="705"/>
    </row>
    <row r="791" spans="1:6" x14ac:dyDescent="0.3">
      <c r="A791" s="129"/>
      <c r="C791" s="139"/>
      <c r="D791" s="140" t="str">
        <f ca="1">' '!$A$169</f>
        <v>Source</v>
      </c>
      <c r="E791" s="139" t="str">
        <f ca="1">' '!$A$170</f>
        <v>Moment de l'enquête &amp; Comparaison avec la branche</v>
      </c>
      <c r="F791" s="139"/>
    </row>
    <row r="792" spans="1:6" x14ac:dyDescent="0.3">
      <c r="A792" s="129"/>
      <c r="C792" s="706"/>
      <c r="D792" s="707"/>
      <c r="E792" s="706"/>
      <c r="F792" s="707"/>
    </row>
    <row r="793" spans="1:6" x14ac:dyDescent="0.3">
      <c r="A793" s="129"/>
      <c r="C793" s="706"/>
      <c r="D793" s="707"/>
      <c r="E793" s="706"/>
      <c r="F793" s="707"/>
    </row>
    <row r="794" spans="1:6" x14ac:dyDescent="0.3">
      <c r="A794" s="129"/>
      <c r="C794" s="706"/>
      <c r="D794" s="707"/>
      <c r="E794" s="706"/>
      <c r="F794" s="707"/>
    </row>
    <row r="795" spans="1:6" x14ac:dyDescent="0.3">
      <c r="A795" s="129"/>
      <c r="C795" s="139"/>
      <c r="D795" s="139"/>
      <c r="E795" s="139"/>
      <c r="F795" s="139"/>
    </row>
    <row r="796" spans="1:6" ht="15.6" x14ac:dyDescent="0.3">
      <c r="A796" s="129"/>
      <c r="D796" s="130"/>
    </row>
    <row r="797" spans="1:6" ht="24" customHeight="1" x14ac:dyDescent="0.3">
      <c r="A797" s="129"/>
      <c r="C797" s="136" t="s">
        <v>355</v>
      </c>
      <c r="D797" s="137">
        <f>_o67</f>
        <v>0</v>
      </c>
      <c r="E797" s="138"/>
      <c r="F797" s="138"/>
    </row>
    <row r="798" spans="1:6" x14ac:dyDescent="0.3">
      <c r="A798" s="129"/>
    </row>
    <row r="799" spans="1:6" x14ac:dyDescent="0.3">
      <c r="A799" s="129"/>
      <c r="C799" s="139"/>
      <c r="D799" s="139" t="str">
        <f ca="1">' '!$A$168</f>
        <v>Description/Remarques</v>
      </c>
      <c r="E799" s="139"/>
      <c r="F799" s="139"/>
    </row>
    <row r="800" spans="1:6" x14ac:dyDescent="0.3">
      <c r="A800" s="129"/>
      <c r="C800" s="705"/>
      <c r="D800" s="705"/>
      <c r="E800" s="705"/>
      <c r="F800" s="705"/>
    </row>
    <row r="801" spans="1:6" x14ac:dyDescent="0.3">
      <c r="A801" s="129"/>
      <c r="C801" s="139"/>
      <c r="D801" s="139" t="str">
        <f ca="1">' '!$A$167</f>
        <v>Calcul</v>
      </c>
      <c r="E801" s="139"/>
      <c r="F801" s="139"/>
    </row>
    <row r="802" spans="1:6" x14ac:dyDescent="0.3">
      <c r="A802" s="129"/>
      <c r="C802" s="705"/>
      <c r="D802" s="705"/>
      <c r="E802" s="705" t="s">
        <v>375</v>
      </c>
      <c r="F802" s="705"/>
    </row>
    <row r="803" spans="1:6" x14ac:dyDescent="0.3">
      <c r="A803" s="129"/>
      <c r="C803" s="139"/>
      <c r="D803" s="140" t="str">
        <f ca="1">' '!$A$169</f>
        <v>Source</v>
      </c>
      <c r="E803" s="139" t="str">
        <f ca="1">' '!$A$170</f>
        <v>Moment de l'enquête &amp; Comparaison avec la branche</v>
      </c>
      <c r="F803" s="139"/>
    </row>
    <row r="804" spans="1:6" x14ac:dyDescent="0.3">
      <c r="A804" s="129"/>
      <c r="C804" s="706"/>
      <c r="D804" s="707"/>
      <c r="E804" s="706"/>
      <c r="F804" s="707"/>
    </row>
    <row r="805" spans="1:6" x14ac:dyDescent="0.3">
      <c r="A805" s="129"/>
      <c r="C805" s="706"/>
      <c r="D805" s="707"/>
      <c r="E805" s="706"/>
      <c r="F805" s="707"/>
    </row>
    <row r="806" spans="1:6" x14ac:dyDescent="0.3">
      <c r="A806" s="129"/>
      <c r="C806" s="706"/>
      <c r="D806" s="707"/>
      <c r="E806" s="706"/>
      <c r="F806" s="707"/>
    </row>
    <row r="807" spans="1:6" x14ac:dyDescent="0.3">
      <c r="A807" s="129"/>
      <c r="C807" s="139"/>
      <c r="D807" s="139"/>
      <c r="E807" s="139"/>
      <c r="F807" s="139"/>
    </row>
    <row r="808" spans="1:6" ht="15.6" x14ac:dyDescent="0.3">
      <c r="A808" s="129"/>
      <c r="D808" s="130"/>
    </row>
    <row r="809" spans="1:6" ht="24" customHeight="1" x14ac:dyDescent="0.3">
      <c r="A809" s="129"/>
      <c r="C809" s="136" t="s">
        <v>356</v>
      </c>
      <c r="D809" s="137">
        <f>_o68</f>
        <v>0</v>
      </c>
      <c r="E809" s="138"/>
      <c r="F809" s="138"/>
    </row>
    <row r="810" spans="1:6" x14ac:dyDescent="0.3">
      <c r="A810" s="129"/>
    </row>
    <row r="811" spans="1:6" x14ac:dyDescent="0.3">
      <c r="A811" s="129"/>
      <c r="C811" s="139"/>
      <c r="D811" s="139" t="str">
        <f ca="1">' '!$A$168</f>
        <v>Description/Remarques</v>
      </c>
      <c r="E811" s="139"/>
      <c r="F811" s="139"/>
    </row>
    <row r="812" spans="1:6" x14ac:dyDescent="0.3">
      <c r="A812" s="129"/>
      <c r="C812" s="705"/>
      <c r="D812" s="705"/>
      <c r="E812" s="705"/>
      <c r="F812" s="705"/>
    </row>
    <row r="813" spans="1:6" x14ac:dyDescent="0.3">
      <c r="A813" s="129"/>
      <c r="C813" s="139"/>
      <c r="D813" s="139" t="str">
        <f ca="1">' '!$A$167</f>
        <v>Calcul</v>
      </c>
      <c r="E813" s="139"/>
      <c r="F813" s="139"/>
    </row>
    <row r="814" spans="1:6" x14ac:dyDescent="0.3">
      <c r="A814" s="129"/>
      <c r="C814" s="705"/>
      <c r="D814" s="705"/>
      <c r="E814" s="705" t="s">
        <v>375</v>
      </c>
      <c r="F814" s="705"/>
    </row>
    <row r="815" spans="1:6" x14ac:dyDescent="0.3">
      <c r="A815" s="129"/>
      <c r="C815" s="139"/>
      <c r="D815" s="140" t="str">
        <f ca="1">' '!$A$169</f>
        <v>Source</v>
      </c>
      <c r="E815" s="139" t="str">
        <f ca="1">' '!$A$170</f>
        <v>Moment de l'enquête &amp; Comparaison avec la branche</v>
      </c>
      <c r="F815" s="139"/>
    </row>
    <row r="816" spans="1:6" x14ac:dyDescent="0.3">
      <c r="A816" s="129"/>
      <c r="C816" s="706"/>
      <c r="D816" s="707"/>
      <c r="E816" s="706"/>
      <c r="F816" s="707"/>
    </row>
    <row r="817" spans="1:6" x14ac:dyDescent="0.3">
      <c r="A817" s="129"/>
      <c r="C817" s="706"/>
      <c r="D817" s="707"/>
      <c r="E817" s="706"/>
      <c r="F817" s="707"/>
    </row>
    <row r="818" spans="1:6" x14ac:dyDescent="0.3">
      <c r="A818" s="129"/>
      <c r="C818" s="706"/>
      <c r="D818" s="707"/>
      <c r="E818" s="706"/>
      <c r="F818" s="707"/>
    </row>
    <row r="819" spans="1:6" x14ac:dyDescent="0.3">
      <c r="A819" s="129"/>
      <c r="C819" s="139"/>
      <c r="D819" s="139"/>
      <c r="E819" s="139"/>
      <c r="F819" s="139"/>
    </row>
    <row r="820" spans="1:6" ht="15.6" x14ac:dyDescent="0.3">
      <c r="A820" s="129"/>
      <c r="D820" s="130"/>
    </row>
    <row r="821" spans="1:6" ht="24" customHeight="1" x14ac:dyDescent="0.3">
      <c r="A821" s="129"/>
      <c r="C821" s="136" t="s">
        <v>358</v>
      </c>
      <c r="D821" s="137">
        <f>_o69</f>
        <v>0</v>
      </c>
      <c r="E821" s="138"/>
      <c r="F821" s="138"/>
    </row>
    <row r="822" spans="1:6" x14ac:dyDescent="0.3">
      <c r="A822" s="129"/>
    </row>
    <row r="823" spans="1:6" x14ac:dyDescent="0.3">
      <c r="A823" s="129"/>
      <c r="C823" s="139"/>
      <c r="D823" s="139" t="str">
        <f ca="1">' '!$A$168</f>
        <v>Description/Remarques</v>
      </c>
      <c r="E823" s="139"/>
      <c r="F823" s="139"/>
    </row>
    <row r="824" spans="1:6" x14ac:dyDescent="0.3">
      <c r="A824" s="129"/>
      <c r="C824" s="705"/>
      <c r="D824" s="705"/>
      <c r="E824" s="705"/>
      <c r="F824" s="705"/>
    </row>
    <row r="825" spans="1:6" x14ac:dyDescent="0.3">
      <c r="A825" s="129"/>
      <c r="C825" s="139"/>
      <c r="D825" s="139" t="str">
        <f ca="1">' '!$A$167</f>
        <v>Calcul</v>
      </c>
      <c r="E825" s="139"/>
      <c r="F825" s="139"/>
    </row>
    <row r="826" spans="1:6" x14ac:dyDescent="0.3">
      <c r="A826" s="129"/>
      <c r="C826" s="705"/>
      <c r="D826" s="705"/>
      <c r="E826" s="705" t="s">
        <v>375</v>
      </c>
      <c r="F826" s="705"/>
    </row>
    <row r="827" spans="1:6" x14ac:dyDescent="0.3">
      <c r="A827" s="129"/>
      <c r="C827" s="139"/>
      <c r="D827" s="140" t="str">
        <f ca="1">' '!$A$169</f>
        <v>Source</v>
      </c>
      <c r="E827" s="139" t="str">
        <f ca="1">' '!$A$170</f>
        <v>Moment de l'enquête &amp; Comparaison avec la branche</v>
      </c>
      <c r="F827" s="139"/>
    </row>
    <row r="828" spans="1:6" x14ac:dyDescent="0.3">
      <c r="A828" s="129"/>
      <c r="C828" s="706"/>
      <c r="D828" s="707"/>
      <c r="E828" s="706"/>
      <c r="F828" s="707"/>
    </row>
    <row r="829" spans="1:6" x14ac:dyDescent="0.3">
      <c r="A829" s="129"/>
      <c r="C829" s="706"/>
      <c r="D829" s="707"/>
      <c r="E829" s="706"/>
      <c r="F829" s="707"/>
    </row>
    <row r="830" spans="1:6" x14ac:dyDescent="0.3">
      <c r="A830" s="129"/>
      <c r="C830" s="706"/>
      <c r="D830" s="707"/>
      <c r="E830" s="706"/>
      <c r="F830" s="707"/>
    </row>
    <row r="831" spans="1:6" x14ac:dyDescent="0.3">
      <c r="A831" s="129"/>
      <c r="C831" s="139"/>
      <c r="D831" s="139"/>
      <c r="E831" s="139"/>
      <c r="F831" s="139"/>
    </row>
    <row r="832" spans="1:6" ht="15.6" x14ac:dyDescent="0.3">
      <c r="A832" s="129"/>
      <c r="D832" s="130"/>
    </row>
    <row r="833" spans="1:6" ht="24" customHeight="1" x14ac:dyDescent="0.3">
      <c r="A833" s="129"/>
      <c r="C833" s="136" t="s">
        <v>359</v>
      </c>
      <c r="D833" s="137">
        <f>_o70</f>
        <v>0</v>
      </c>
      <c r="E833" s="138"/>
      <c r="F833" s="138"/>
    </row>
    <row r="834" spans="1:6" x14ac:dyDescent="0.3">
      <c r="A834" s="129"/>
    </row>
    <row r="835" spans="1:6" x14ac:dyDescent="0.3">
      <c r="A835" s="129"/>
      <c r="C835" s="139"/>
      <c r="D835" s="139" t="str">
        <f ca="1">' '!$A$168</f>
        <v>Description/Remarques</v>
      </c>
      <c r="E835" s="139"/>
      <c r="F835" s="139"/>
    </row>
    <row r="836" spans="1:6" x14ac:dyDescent="0.3">
      <c r="A836" s="129"/>
      <c r="C836" s="705"/>
      <c r="D836" s="705"/>
      <c r="E836" s="705"/>
      <c r="F836" s="705"/>
    </row>
    <row r="837" spans="1:6" x14ac:dyDescent="0.3">
      <c r="A837" s="129"/>
      <c r="C837" s="139"/>
      <c r="D837" s="139" t="str">
        <f ca="1">' '!$A$167</f>
        <v>Calcul</v>
      </c>
      <c r="E837" s="139"/>
      <c r="F837" s="139"/>
    </row>
    <row r="838" spans="1:6" x14ac:dyDescent="0.3">
      <c r="A838" s="129"/>
      <c r="C838" s="705"/>
      <c r="D838" s="705"/>
      <c r="E838" s="705" t="s">
        <v>375</v>
      </c>
      <c r="F838" s="705"/>
    </row>
    <row r="839" spans="1:6" x14ac:dyDescent="0.3">
      <c r="A839" s="129"/>
      <c r="C839" s="139"/>
      <c r="D839" s="140" t="str">
        <f ca="1">' '!$A$169</f>
        <v>Source</v>
      </c>
      <c r="E839" s="139" t="str">
        <f ca="1">' '!$A$170</f>
        <v>Moment de l'enquête &amp; Comparaison avec la branche</v>
      </c>
      <c r="F839" s="139"/>
    </row>
    <row r="840" spans="1:6" x14ac:dyDescent="0.3">
      <c r="A840" s="129"/>
      <c r="C840" s="706"/>
      <c r="D840" s="707"/>
      <c r="E840" s="706"/>
      <c r="F840" s="707"/>
    </row>
    <row r="841" spans="1:6" x14ac:dyDescent="0.3">
      <c r="A841" s="129"/>
      <c r="C841" s="706"/>
      <c r="D841" s="707"/>
      <c r="E841" s="706"/>
      <c r="F841" s="707"/>
    </row>
    <row r="842" spans="1:6" x14ac:dyDescent="0.3">
      <c r="A842" s="129"/>
      <c r="C842" s="706"/>
      <c r="D842" s="707"/>
      <c r="E842" s="706"/>
      <c r="F842" s="707"/>
    </row>
    <row r="843" spans="1:6" x14ac:dyDescent="0.3">
      <c r="A843" s="129"/>
      <c r="C843" s="139"/>
      <c r="D843" s="139"/>
      <c r="E843" s="139"/>
      <c r="F843" s="139"/>
    </row>
    <row r="844" spans="1:6" ht="15.6" x14ac:dyDescent="0.3">
      <c r="A844" s="129"/>
      <c r="D844" s="130"/>
    </row>
    <row r="845" spans="1:6" ht="24" customHeight="1" x14ac:dyDescent="0.3">
      <c r="A845" s="129"/>
      <c r="C845" s="136" t="s">
        <v>361</v>
      </c>
      <c r="D845" s="137">
        <f>_o71</f>
        <v>0</v>
      </c>
      <c r="E845" s="138"/>
      <c r="F845" s="138"/>
    </row>
    <row r="846" spans="1:6" x14ac:dyDescent="0.3">
      <c r="A846" s="129"/>
    </row>
    <row r="847" spans="1:6" x14ac:dyDescent="0.3">
      <c r="A847" s="129"/>
      <c r="C847" s="139"/>
      <c r="D847" s="139" t="str">
        <f ca="1">' '!$A$168</f>
        <v>Description/Remarques</v>
      </c>
      <c r="E847" s="139"/>
      <c r="F847" s="139"/>
    </row>
    <row r="848" spans="1:6" x14ac:dyDescent="0.3">
      <c r="A848" s="129"/>
      <c r="C848" s="705"/>
      <c r="D848" s="705"/>
      <c r="E848" s="705"/>
      <c r="F848" s="705"/>
    </row>
    <row r="849" spans="1:6" x14ac:dyDescent="0.3">
      <c r="A849" s="129"/>
      <c r="C849" s="139"/>
      <c r="D849" s="139" t="str">
        <f ca="1">' '!$A$167</f>
        <v>Calcul</v>
      </c>
      <c r="E849" s="139"/>
      <c r="F849" s="139"/>
    </row>
    <row r="850" spans="1:6" x14ac:dyDescent="0.3">
      <c r="A850" s="129"/>
      <c r="C850" s="705"/>
      <c r="D850" s="705"/>
      <c r="E850" s="705" t="s">
        <v>375</v>
      </c>
      <c r="F850" s="705"/>
    </row>
    <row r="851" spans="1:6" x14ac:dyDescent="0.3">
      <c r="A851" s="129"/>
      <c r="C851" s="139"/>
      <c r="D851" s="140" t="str">
        <f ca="1">' '!$A$169</f>
        <v>Source</v>
      </c>
      <c r="E851" s="139" t="str">
        <f ca="1">' '!$A$170</f>
        <v>Moment de l'enquête &amp; Comparaison avec la branche</v>
      </c>
      <c r="F851" s="139"/>
    </row>
    <row r="852" spans="1:6" x14ac:dyDescent="0.3">
      <c r="A852" s="129"/>
      <c r="C852" s="706"/>
      <c r="D852" s="707"/>
      <c r="E852" s="706"/>
      <c r="F852" s="707"/>
    </row>
    <row r="853" spans="1:6" x14ac:dyDescent="0.3">
      <c r="A853" s="129"/>
      <c r="C853" s="706"/>
      <c r="D853" s="707"/>
      <c r="E853" s="706"/>
      <c r="F853" s="707"/>
    </row>
    <row r="854" spans="1:6" x14ac:dyDescent="0.3">
      <c r="A854" s="129"/>
      <c r="C854" s="706"/>
      <c r="D854" s="707"/>
      <c r="E854" s="706"/>
      <c r="F854" s="707"/>
    </row>
    <row r="855" spans="1:6" x14ac:dyDescent="0.3">
      <c r="A855" s="129"/>
      <c r="C855" s="139"/>
      <c r="D855" s="139"/>
      <c r="E855" s="139"/>
      <c r="F855" s="139"/>
    </row>
    <row r="856" spans="1:6" ht="15.6" x14ac:dyDescent="0.3">
      <c r="A856" s="129"/>
      <c r="D856" s="130"/>
    </row>
    <row r="857" spans="1:6" ht="24" customHeight="1" x14ac:dyDescent="0.3">
      <c r="A857" s="129"/>
      <c r="C857" s="136" t="s">
        <v>362</v>
      </c>
      <c r="D857" s="137">
        <f>_o72</f>
        <v>0</v>
      </c>
      <c r="E857" s="138"/>
      <c r="F857" s="138"/>
    </row>
    <row r="858" spans="1:6" x14ac:dyDescent="0.3">
      <c r="A858" s="129"/>
    </row>
    <row r="859" spans="1:6" x14ac:dyDescent="0.3">
      <c r="A859" s="129"/>
      <c r="C859" s="139"/>
      <c r="D859" s="139" t="str">
        <f ca="1">' '!$A$168</f>
        <v>Description/Remarques</v>
      </c>
      <c r="E859" s="139"/>
      <c r="F859" s="139"/>
    </row>
    <row r="860" spans="1:6" x14ac:dyDescent="0.3">
      <c r="A860" s="129"/>
      <c r="C860" s="705"/>
      <c r="D860" s="705"/>
      <c r="E860" s="705"/>
      <c r="F860" s="705"/>
    </row>
    <row r="861" spans="1:6" x14ac:dyDescent="0.3">
      <c r="A861" s="129"/>
      <c r="C861" s="139"/>
      <c r="D861" s="139" t="str">
        <f ca="1">' '!$A$167</f>
        <v>Calcul</v>
      </c>
      <c r="E861" s="139"/>
      <c r="F861" s="139"/>
    </row>
    <row r="862" spans="1:6" x14ac:dyDescent="0.3">
      <c r="A862" s="129"/>
      <c r="C862" s="705"/>
      <c r="D862" s="705"/>
      <c r="E862" s="705" t="s">
        <v>375</v>
      </c>
      <c r="F862" s="705"/>
    </row>
    <row r="863" spans="1:6" x14ac:dyDescent="0.3">
      <c r="A863" s="129"/>
      <c r="C863" s="139"/>
      <c r="D863" s="140" t="str">
        <f ca="1">' '!$A$169</f>
        <v>Source</v>
      </c>
      <c r="E863" s="139" t="str">
        <f ca="1">' '!$A$170</f>
        <v>Moment de l'enquête &amp; Comparaison avec la branche</v>
      </c>
      <c r="F863" s="139"/>
    </row>
    <row r="864" spans="1:6" x14ac:dyDescent="0.3">
      <c r="A864" s="129"/>
      <c r="C864" s="706"/>
      <c r="D864" s="707"/>
      <c r="E864" s="706"/>
      <c r="F864" s="707"/>
    </row>
    <row r="865" spans="1:6" x14ac:dyDescent="0.3">
      <c r="A865" s="129"/>
      <c r="C865" s="706"/>
      <c r="D865" s="707"/>
      <c r="E865" s="706"/>
      <c r="F865" s="707"/>
    </row>
    <row r="866" spans="1:6" x14ac:dyDescent="0.3">
      <c r="A866" s="129"/>
      <c r="C866" s="706"/>
      <c r="D866" s="707"/>
      <c r="E866" s="706"/>
      <c r="F866" s="707"/>
    </row>
    <row r="867" spans="1:6" x14ac:dyDescent="0.3">
      <c r="A867" s="129"/>
      <c r="C867" s="139"/>
      <c r="D867" s="139"/>
      <c r="E867" s="139"/>
      <c r="F867" s="139"/>
    </row>
    <row r="868" spans="1:6" ht="15.6" x14ac:dyDescent="0.3">
      <c r="A868" s="129"/>
      <c r="D868" s="130"/>
    </row>
    <row r="869" spans="1:6" ht="24" customHeight="1" x14ac:dyDescent="0.3">
      <c r="A869" s="129"/>
      <c r="C869" s="136" t="s">
        <v>364</v>
      </c>
      <c r="D869" s="137">
        <f>_o73</f>
        <v>0</v>
      </c>
      <c r="E869" s="138"/>
      <c r="F869" s="138"/>
    </row>
    <row r="870" spans="1:6" x14ac:dyDescent="0.3">
      <c r="A870" s="129"/>
    </row>
    <row r="871" spans="1:6" x14ac:dyDescent="0.3">
      <c r="A871" s="129"/>
      <c r="C871" s="139"/>
      <c r="D871" s="139" t="str">
        <f ca="1">' '!$A$168</f>
        <v>Description/Remarques</v>
      </c>
      <c r="E871" s="139"/>
      <c r="F871" s="139"/>
    </row>
    <row r="872" spans="1:6" x14ac:dyDescent="0.3">
      <c r="A872" s="129"/>
      <c r="C872" s="705"/>
      <c r="D872" s="705"/>
      <c r="E872" s="705"/>
      <c r="F872" s="705"/>
    </row>
    <row r="873" spans="1:6" x14ac:dyDescent="0.3">
      <c r="A873" s="129"/>
      <c r="C873" s="139"/>
      <c r="D873" s="139" t="str">
        <f ca="1">' '!$A$167</f>
        <v>Calcul</v>
      </c>
      <c r="E873" s="139"/>
      <c r="F873" s="139"/>
    </row>
    <row r="874" spans="1:6" x14ac:dyDescent="0.3">
      <c r="A874" s="129"/>
      <c r="C874" s="705"/>
      <c r="D874" s="705"/>
      <c r="E874" s="705" t="s">
        <v>375</v>
      </c>
      <c r="F874" s="705"/>
    </row>
    <row r="875" spans="1:6" x14ac:dyDescent="0.3">
      <c r="A875" s="129"/>
      <c r="C875" s="139"/>
      <c r="D875" s="140" t="str">
        <f ca="1">' '!$A$169</f>
        <v>Source</v>
      </c>
      <c r="E875" s="139" t="str">
        <f ca="1">' '!$A$170</f>
        <v>Moment de l'enquête &amp; Comparaison avec la branche</v>
      </c>
      <c r="F875" s="139"/>
    </row>
    <row r="876" spans="1:6" x14ac:dyDescent="0.3">
      <c r="A876" s="129"/>
      <c r="C876" s="706"/>
      <c r="D876" s="707"/>
      <c r="E876" s="706"/>
      <c r="F876" s="707"/>
    </row>
    <row r="877" spans="1:6" x14ac:dyDescent="0.3">
      <c r="A877" s="129"/>
      <c r="C877" s="706"/>
      <c r="D877" s="707"/>
      <c r="E877" s="706"/>
      <c r="F877" s="707"/>
    </row>
    <row r="878" spans="1:6" x14ac:dyDescent="0.3">
      <c r="A878" s="129"/>
      <c r="C878" s="706"/>
      <c r="D878" s="707"/>
      <c r="E878" s="706"/>
      <c r="F878" s="707"/>
    </row>
    <row r="879" spans="1:6" x14ac:dyDescent="0.3">
      <c r="A879" s="129"/>
      <c r="C879" s="139"/>
      <c r="D879" s="139"/>
      <c r="E879" s="139"/>
      <c r="F879" s="139"/>
    </row>
    <row r="880" spans="1:6" ht="15.6" x14ac:dyDescent="0.3">
      <c r="A880" s="129"/>
      <c r="D880" s="130"/>
    </row>
    <row r="881" spans="1:6" ht="24" customHeight="1" x14ac:dyDescent="0.3">
      <c r="A881" s="129"/>
      <c r="C881" s="136" t="s">
        <v>365</v>
      </c>
      <c r="D881" s="137">
        <f>_o74</f>
        <v>0</v>
      </c>
      <c r="E881" s="138"/>
      <c r="F881" s="138"/>
    </row>
    <row r="882" spans="1:6" x14ac:dyDescent="0.3">
      <c r="A882" s="129"/>
    </row>
    <row r="883" spans="1:6" x14ac:dyDescent="0.3">
      <c r="A883" s="129"/>
      <c r="C883" s="139"/>
      <c r="D883" s="139" t="str">
        <f ca="1">' '!$A$168</f>
        <v>Description/Remarques</v>
      </c>
      <c r="E883" s="139"/>
      <c r="F883" s="139"/>
    </row>
    <row r="884" spans="1:6" x14ac:dyDescent="0.3">
      <c r="A884" s="129"/>
      <c r="C884" s="705"/>
      <c r="D884" s="705"/>
      <c r="E884" s="705"/>
      <c r="F884" s="705"/>
    </row>
    <row r="885" spans="1:6" x14ac:dyDescent="0.3">
      <c r="A885" s="129"/>
      <c r="C885" s="139"/>
      <c r="D885" s="139" t="str">
        <f ca="1">' '!$A$167</f>
        <v>Calcul</v>
      </c>
      <c r="E885" s="139"/>
      <c r="F885" s="139"/>
    </row>
    <row r="886" spans="1:6" x14ac:dyDescent="0.3">
      <c r="A886" s="129"/>
      <c r="C886" s="705"/>
      <c r="D886" s="705"/>
      <c r="E886" s="705" t="s">
        <v>375</v>
      </c>
      <c r="F886" s="705"/>
    </row>
    <row r="887" spans="1:6" x14ac:dyDescent="0.3">
      <c r="A887" s="129"/>
      <c r="C887" s="139"/>
      <c r="D887" s="140" t="str">
        <f ca="1">' '!$A$169</f>
        <v>Source</v>
      </c>
      <c r="E887" s="139" t="str">
        <f ca="1">' '!$A$170</f>
        <v>Moment de l'enquête &amp; Comparaison avec la branche</v>
      </c>
      <c r="F887" s="139"/>
    </row>
    <row r="888" spans="1:6" x14ac:dyDescent="0.3">
      <c r="A888" s="129"/>
      <c r="C888" s="706"/>
      <c r="D888" s="707"/>
      <c r="E888" s="706"/>
      <c r="F888" s="707"/>
    </row>
    <row r="889" spans="1:6" x14ac:dyDescent="0.3">
      <c r="A889" s="129"/>
      <c r="C889" s="706"/>
      <c r="D889" s="707"/>
      <c r="E889" s="706"/>
      <c r="F889" s="707"/>
    </row>
    <row r="890" spans="1:6" x14ac:dyDescent="0.3">
      <c r="A890" s="129"/>
      <c r="C890" s="706"/>
      <c r="D890" s="707"/>
      <c r="E890" s="706"/>
      <c r="F890" s="707"/>
    </row>
    <row r="891" spans="1:6" x14ac:dyDescent="0.3">
      <c r="A891" s="129"/>
      <c r="C891" s="139"/>
      <c r="D891" s="139"/>
      <c r="E891" s="139"/>
      <c r="F891" s="139"/>
    </row>
    <row r="892" spans="1:6" ht="15.6" x14ac:dyDescent="0.3">
      <c r="A892" s="129"/>
      <c r="D892" s="130"/>
    </row>
    <row r="893" spans="1:6" ht="24" customHeight="1" x14ac:dyDescent="0.3">
      <c r="A893" s="129"/>
      <c r="C893" s="136" t="s">
        <v>367</v>
      </c>
      <c r="D893" s="137">
        <f>_o75</f>
        <v>0</v>
      </c>
      <c r="E893" s="138"/>
      <c r="F893" s="138"/>
    </row>
    <row r="894" spans="1:6" x14ac:dyDescent="0.3">
      <c r="A894" s="129"/>
    </row>
    <row r="895" spans="1:6" x14ac:dyDescent="0.3">
      <c r="A895" s="129"/>
      <c r="C895" s="139"/>
      <c r="D895" s="139" t="str">
        <f ca="1">' '!$A$168</f>
        <v>Description/Remarques</v>
      </c>
      <c r="E895" s="139"/>
      <c r="F895" s="139"/>
    </row>
    <row r="896" spans="1:6" x14ac:dyDescent="0.3">
      <c r="A896" s="129"/>
      <c r="C896" s="705"/>
      <c r="D896" s="705"/>
      <c r="E896" s="705"/>
      <c r="F896" s="705"/>
    </row>
    <row r="897" spans="1:6" x14ac:dyDescent="0.3">
      <c r="A897" s="129"/>
      <c r="C897" s="139"/>
      <c r="D897" s="139" t="str">
        <f ca="1">' '!$A$167</f>
        <v>Calcul</v>
      </c>
      <c r="E897" s="139"/>
      <c r="F897" s="139"/>
    </row>
    <row r="898" spans="1:6" x14ac:dyDescent="0.3">
      <c r="A898" s="129"/>
      <c r="C898" s="705"/>
      <c r="D898" s="705"/>
      <c r="E898" s="705" t="s">
        <v>375</v>
      </c>
      <c r="F898" s="705"/>
    </row>
    <row r="899" spans="1:6" x14ac:dyDescent="0.3">
      <c r="A899" s="129"/>
      <c r="C899" s="139"/>
      <c r="D899" s="140" t="str">
        <f ca="1">' '!$A$169</f>
        <v>Source</v>
      </c>
      <c r="E899" s="139" t="str">
        <f ca="1">' '!$A$170</f>
        <v>Moment de l'enquête &amp; Comparaison avec la branche</v>
      </c>
      <c r="F899" s="139"/>
    </row>
    <row r="900" spans="1:6" x14ac:dyDescent="0.3">
      <c r="A900" s="129"/>
      <c r="C900" s="706"/>
      <c r="D900" s="707"/>
      <c r="E900" s="706"/>
      <c r="F900" s="707"/>
    </row>
    <row r="901" spans="1:6" x14ac:dyDescent="0.3">
      <c r="A901" s="129"/>
      <c r="C901" s="706"/>
      <c r="D901" s="707"/>
      <c r="E901" s="706"/>
      <c r="F901" s="707"/>
    </row>
    <row r="902" spans="1:6" x14ac:dyDescent="0.3">
      <c r="A902" s="129"/>
      <c r="C902" s="706"/>
      <c r="D902" s="707"/>
      <c r="E902" s="706"/>
      <c r="F902" s="707"/>
    </row>
    <row r="903" spans="1:6" x14ac:dyDescent="0.3">
      <c r="A903" s="129"/>
      <c r="C903" s="139"/>
      <c r="D903" s="139"/>
      <c r="E903" s="139"/>
      <c r="F903" s="139"/>
    </row>
    <row r="904" spans="1:6" ht="15.6" x14ac:dyDescent="0.3">
      <c r="A904" s="129"/>
      <c r="D904" s="130"/>
    </row>
    <row r="905" spans="1:6" ht="24" customHeight="1" x14ac:dyDescent="0.3">
      <c r="A905" s="129"/>
      <c r="C905" s="136" t="s">
        <v>368</v>
      </c>
      <c r="D905" s="137">
        <f>_o76</f>
        <v>0</v>
      </c>
      <c r="E905" s="138"/>
      <c r="F905" s="138"/>
    </row>
    <row r="906" spans="1:6" x14ac:dyDescent="0.3">
      <c r="A906" s="129"/>
    </row>
    <row r="907" spans="1:6" x14ac:dyDescent="0.3">
      <c r="A907" s="129"/>
      <c r="C907" s="139"/>
      <c r="D907" s="139" t="str">
        <f ca="1">' '!$A$168</f>
        <v>Description/Remarques</v>
      </c>
      <c r="E907" s="139"/>
      <c r="F907" s="139"/>
    </row>
    <row r="908" spans="1:6" x14ac:dyDescent="0.3">
      <c r="A908" s="129"/>
      <c r="C908" s="705"/>
      <c r="D908" s="705"/>
      <c r="E908" s="705"/>
      <c r="F908" s="705"/>
    </row>
    <row r="909" spans="1:6" x14ac:dyDescent="0.3">
      <c r="A909" s="129"/>
      <c r="C909" s="139"/>
      <c r="D909" s="139" t="str">
        <f ca="1">' '!$A$167</f>
        <v>Calcul</v>
      </c>
      <c r="E909" s="139"/>
      <c r="F909" s="139"/>
    </row>
    <row r="910" spans="1:6" x14ac:dyDescent="0.3">
      <c r="A910" s="129"/>
      <c r="C910" s="705"/>
      <c r="D910" s="705"/>
      <c r="E910" s="705" t="s">
        <v>375</v>
      </c>
      <c r="F910" s="705"/>
    </row>
    <row r="911" spans="1:6" x14ac:dyDescent="0.3">
      <c r="A911" s="129"/>
      <c r="C911" s="139"/>
      <c r="D911" s="140" t="str">
        <f ca="1">' '!$A$169</f>
        <v>Source</v>
      </c>
      <c r="E911" s="139" t="str">
        <f ca="1">' '!$A$170</f>
        <v>Moment de l'enquête &amp; Comparaison avec la branche</v>
      </c>
      <c r="F911" s="139"/>
    </row>
    <row r="912" spans="1:6" x14ac:dyDescent="0.3">
      <c r="A912" s="129"/>
      <c r="C912" s="706"/>
      <c r="D912" s="707"/>
      <c r="E912" s="706"/>
      <c r="F912" s="707"/>
    </row>
    <row r="913" spans="1:6" x14ac:dyDescent="0.3">
      <c r="A913" s="129"/>
      <c r="C913" s="706"/>
      <c r="D913" s="707"/>
      <c r="E913" s="706"/>
      <c r="F913" s="707"/>
    </row>
    <row r="914" spans="1:6" x14ac:dyDescent="0.3">
      <c r="A914" s="129"/>
      <c r="C914" s="706"/>
      <c r="D914" s="707"/>
      <c r="E914" s="706"/>
      <c r="F914" s="707"/>
    </row>
    <row r="915" spans="1:6" x14ac:dyDescent="0.3">
      <c r="A915" s="129"/>
      <c r="C915" s="139"/>
      <c r="D915" s="139"/>
      <c r="E915" s="139"/>
      <c r="F915" s="139"/>
    </row>
    <row r="916" spans="1:6" ht="15.6" x14ac:dyDescent="0.3">
      <c r="A916" s="129"/>
      <c r="D916" s="130"/>
    </row>
    <row r="917" spans="1:6" ht="24" customHeight="1" x14ac:dyDescent="0.3">
      <c r="A917" s="129"/>
      <c r="C917" s="136" t="s">
        <v>370</v>
      </c>
      <c r="D917" s="137">
        <f>_o77</f>
        <v>0</v>
      </c>
      <c r="E917" s="138"/>
      <c r="F917" s="138"/>
    </row>
    <row r="918" spans="1:6" x14ac:dyDescent="0.3">
      <c r="A918" s="129"/>
    </row>
    <row r="919" spans="1:6" x14ac:dyDescent="0.3">
      <c r="A919" s="129"/>
      <c r="C919" s="139"/>
      <c r="D919" s="139" t="str">
        <f ca="1">' '!$A$168</f>
        <v>Description/Remarques</v>
      </c>
      <c r="E919" s="139"/>
      <c r="F919" s="139"/>
    </row>
    <row r="920" spans="1:6" x14ac:dyDescent="0.3">
      <c r="A920" s="129"/>
      <c r="C920" s="705"/>
      <c r="D920" s="705"/>
      <c r="E920" s="705"/>
      <c r="F920" s="705"/>
    </row>
    <row r="921" spans="1:6" x14ac:dyDescent="0.3">
      <c r="A921" s="129"/>
      <c r="C921" s="139"/>
      <c r="D921" s="139" t="str">
        <f ca="1">' '!$A$167</f>
        <v>Calcul</v>
      </c>
      <c r="E921" s="139"/>
      <c r="F921" s="139"/>
    </row>
    <row r="922" spans="1:6" x14ac:dyDescent="0.3">
      <c r="A922" s="129"/>
      <c r="C922" s="705"/>
      <c r="D922" s="705"/>
      <c r="E922" s="705" t="s">
        <v>375</v>
      </c>
      <c r="F922" s="705"/>
    </row>
    <row r="923" spans="1:6" x14ac:dyDescent="0.3">
      <c r="A923" s="129"/>
      <c r="C923" s="139"/>
      <c r="D923" s="140" t="str">
        <f ca="1">' '!$A$169</f>
        <v>Source</v>
      </c>
      <c r="E923" s="139" t="str">
        <f ca="1">' '!$A$170</f>
        <v>Moment de l'enquête &amp; Comparaison avec la branche</v>
      </c>
      <c r="F923" s="139"/>
    </row>
    <row r="924" spans="1:6" x14ac:dyDescent="0.3">
      <c r="A924" s="129"/>
      <c r="C924" s="706"/>
      <c r="D924" s="707"/>
      <c r="E924" s="706"/>
      <c r="F924" s="707"/>
    </row>
    <row r="925" spans="1:6" x14ac:dyDescent="0.3">
      <c r="A925" s="129"/>
      <c r="C925" s="706"/>
      <c r="D925" s="707"/>
      <c r="E925" s="706"/>
      <c r="F925" s="707"/>
    </row>
    <row r="926" spans="1:6" x14ac:dyDescent="0.3">
      <c r="A926" s="129"/>
      <c r="C926" s="706"/>
      <c r="D926" s="707"/>
      <c r="E926" s="706"/>
      <c r="F926" s="707"/>
    </row>
    <row r="927" spans="1:6" x14ac:dyDescent="0.3">
      <c r="A927" s="129"/>
      <c r="C927" s="139"/>
      <c r="D927" s="139"/>
      <c r="E927" s="139"/>
      <c r="F927" s="139"/>
    </row>
    <row r="928" spans="1:6" ht="15.6" x14ac:dyDescent="0.3">
      <c r="A928" s="129"/>
      <c r="D928" s="130"/>
    </row>
    <row r="929" spans="1:6" ht="24" customHeight="1" x14ac:dyDescent="0.3">
      <c r="A929" s="129"/>
      <c r="C929" s="136" t="s">
        <v>371</v>
      </c>
      <c r="D929" s="137">
        <f>_o78</f>
        <v>0</v>
      </c>
      <c r="E929" s="138"/>
      <c r="F929" s="138"/>
    </row>
    <row r="930" spans="1:6" x14ac:dyDescent="0.3">
      <c r="A930" s="129"/>
    </row>
    <row r="931" spans="1:6" x14ac:dyDescent="0.3">
      <c r="A931" s="129"/>
      <c r="C931" s="139"/>
      <c r="D931" s="139" t="str">
        <f ca="1">' '!$A$168</f>
        <v>Description/Remarques</v>
      </c>
      <c r="E931" s="139"/>
      <c r="F931" s="139"/>
    </row>
    <row r="932" spans="1:6" x14ac:dyDescent="0.3">
      <c r="A932" s="129"/>
      <c r="C932" s="705"/>
      <c r="D932" s="705"/>
      <c r="E932" s="705"/>
      <c r="F932" s="705"/>
    </row>
    <row r="933" spans="1:6" x14ac:dyDescent="0.3">
      <c r="A933" s="129"/>
      <c r="C933" s="139"/>
      <c r="D933" s="139" t="str">
        <f ca="1">' '!$A$167</f>
        <v>Calcul</v>
      </c>
      <c r="E933" s="139"/>
      <c r="F933" s="139"/>
    </row>
    <row r="934" spans="1:6" x14ac:dyDescent="0.3">
      <c r="A934" s="129"/>
      <c r="C934" s="705"/>
      <c r="D934" s="705"/>
      <c r="E934" s="705" t="s">
        <v>375</v>
      </c>
      <c r="F934" s="705"/>
    </row>
    <row r="935" spans="1:6" x14ac:dyDescent="0.3">
      <c r="A935" s="129"/>
      <c r="C935" s="139"/>
      <c r="D935" s="140" t="str">
        <f ca="1">' '!$A$169</f>
        <v>Source</v>
      </c>
      <c r="E935" s="139" t="str">
        <f ca="1">' '!$A$170</f>
        <v>Moment de l'enquête &amp; Comparaison avec la branche</v>
      </c>
      <c r="F935" s="139"/>
    </row>
    <row r="936" spans="1:6" x14ac:dyDescent="0.3">
      <c r="A936" s="129"/>
      <c r="C936" s="706"/>
      <c r="D936" s="707"/>
      <c r="E936" s="706"/>
      <c r="F936" s="707"/>
    </row>
    <row r="937" spans="1:6" x14ac:dyDescent="0.3">
      <c r="A937" s="129"/>
      <c r="C937" s="706"/>
      <c r="D937" s="707"/>
      <c r="E937" s="706"/>
      <c r="F937" s="707"/>
    </row>
    <row r="938" spans="1:6" x14ac:dyDescent="0.3">
      <c r="A938" s="129"/>
      <c r="C938" s="706"/>
      <c r="D938" s="707"/>
      <c r="E938" s="706"/>
      <c r="F938" s="707"/>
    </row>
    <row r="939" spans="1:6" x14ac:dyDescent="0.3">
      <c r="A939" s="129"/>
      <c r="C939" s="139"/>
      <c r="D939" s="139"/>
      <c r="E939" s="139"/>
      <c r="F939" s="139"/>
    </row>
    <row r="940" spans="1:6" ht="15.6" x14ac:dyDescent="0.3">
      <c r="A940" s="129"/>
      <c r="D940" s="130"/>
    </row>
    <row r="941" spans="1:6" ht="24" customHeight="1" x14ac:dyDescent="0.3">
      <c r="A941" s="129"/>
      <c r="C941" s="136" t="s">
        <v>373</v>
      </c>
      <c r="D941" s="137">
        <f>_o79</f>
        <v>0</v>
      </c>
      <c r="E941" s="138"/>
      <c r="F941" s="138"/>
    </row>
    <row r="942" spans="1:6" x14ac:dyDescent="0.3">
      <c r="A942" s="129"/>
    </row>
    <row r="943" spans="1:6" x14ac:dyDescent="0.3">
      <c r="A943" s="129"/>
      <c r="C943" s="139"/>
      <c r="D943" s="139" t="str">
        <f ca="1">' '!$A$168</f>
        <v>Description/Remarques</v>
      </c>
      <c r="E943" s="139"/>
      <c r="F943" s="139"/>
    </row>
    <row r="944" spans="1:6" x14ac:dyDescent="0.3">
      <c r="A944" s="129"/>
      <c r="C944" s="705"/>
      <c r="D944" s="705"/>
      <c r="E944" s="705"/>
      <c r="F944" s="705"/>
    </row>
    <row r="945" spans="1:6" x14ac:dyDescent="0.3">
      <c r="A945" s="129"/>
      <c r="C945" s="139"/>
      <c r="D945" s="139" t="str">
        <f ca="1">' '!$A$167</f>
        <v>Calcul</v>
      </c>
      <c r="E945" s="139"/>
      <c r="F945" s="139"/>
    </row>
    <row r="946" spans="1:6" x14ac:dyDescent="0.3">
      <c r="A946" s="129"/>
      <c r="C946" s="705"/>
      <c r="D946" s="705"/>
      <c r="E946" s="705" t="s">
        <v>375</v>
      </c>
      <c r="F946" s="705"/>
    </row>
    <row r="947" spans="1:6" x14ac:dyDescent="0.3">
      <c r="A947" s="129"/>
      <c r="C947" s="139"/>
      <c r="D947" s="140" t="str">
        <f ca="1">' '!$A$169</f>
        <v>Source</v>
      </c>
      <c r="E947" s="139" t="str">
        <f ca="1">' '!$A$170</f>
        <v>Moment de l'enquête &amp; Comparaison avec la branche</v>
      </c>
      <c r="F947" s="139"/>
    </row>
    <row r="948" spans="1:6" x14ac:dyDescent="0.3">
      <c r="A948" s="129"/>
      <c r="C948" s="706"/>
      <c r="D948" s="707"/>
      <c r="E948" s="706"/>
      <c r="F948" s="707"/>
    </row>
    <row r="949" spans="1:6" x14ac:dyDescent="0.3">
      <c r="A949" s="129"/>
      <c r="C949" s="706"/>
      <c r="D949" s="707"/>
      <c r="E949" s="706"/>
      <c r="F949" s="707"/>
    </row>
    <row r="950" spans="1:6" x14ac:dyDescent="0.3">
      <c r="A950" s="129"/>
      <c r="C950" s="706"/>
      <c r="D950" s="707"/>
      <c r="E950" s="706"/>
      <c r="F950" s="707"/>
    </row>
    <row r="951" spans="1:6" x14ac:dyDescent="0.3">
      <c r="A951" s="129"/>
      <c r="C951" s="139"/>
      <c r="D951" s="139"/>
      <c r="E951" s="139"/>
      <c r="F951" s="139"/>
    </row>
    <row r="952" spans="1:6" ht="15.6" x14ac:dyDescent="0.3">
      <c r="A952" s="129"/>
      <c r="D952" s="130"/>
    </row>
    <row r="953" spans="1:6" ht="24" customHeight="1" x14ac:dyDescent="0.3">
      <c r="A953" s="129"/>
      <c r="C953" s="136" t="s">
        <v>374</v>
      </c>
      <c r="D953" s="137">
        <f>_o80</f>
        <v>0</v>
      </c>
      <c r="E953" s="138"/>
      <c r="F953" s="138"/>
    </row>
    <row r="954" spans="1:6" x14ac:dyDescent="0.3">
      <c r="A954" s="129"/>
    </row>
    <row r="955" spans="1:6" x14ac:dyDescent="0.3">
      <c r="A955" s="129"/>
      <c r="C955" s="139"/>
      <c r="D955" s="139" t="str">
        <f ca="1">' '!$A$168</f>
        <v>Description/Remarques</v>
      </c>
      <c r="E955" s="139"/>
      <c r="F955" s="139"/>
    </row>
    <row r="956" spans="1:6" x14ac:dyDescent="0.3">
      <c r="A956" s="129"/>
      <c r="C956" s="705"/>
      <c r="D956" s="705"/>
      <c r="E956" s="705"/>
      <c r="F956" s="705"/>
    </row>
    <row r="957" spans="1:6" x14ac:dyDescent="0.3">
      <c r="A957" s="129"/>
      <c r="C957" s="139"/>
      <c r="D957" s="139" t="str">
        <f ca="1">' '!$A$167</f>
        <v>Calcul</v>
      </c>
      <c r="E957" s="139"/>
      <c r="F957" s="139"/>
    </row>
    <row r="958" spans="1:6" x14ac:dyDescent="0.3">
      <c r="A958" s="129"/>
      <c r="C958" s="705"/>
      <c r="D958" s="705"/>
      <c r="E958" s="705" t="s">
        <v>375</v>
      </c>
      <c r="F958" s="705"/>
    </row>
    <row r="959" spans="1:6" x14ac:dyDescent="0.3">
      <c r="A959" s="129"/>
      <c r="C959" s="139"/>
      <c r="D959" s="140" t="str">
        <f ca="1">' '!$A$169</f>
        <v>Source</v>
      </c>
      <c r="E959" s="139" t="str">
        <f ca="1">' '!$A$170</f>
        <v>Moment de l'enquête &amp; Comparaison avec la branche</v>
      </c>
      <c r="F959" s="139"/>
    </row>
    <row r="960" spans="1:6" x14ac:dyDescent="0.3">
      <c r="A960" s="129"/>
      <c r="C960" s="706"/>
      <c r="D960" s="707"/>
      <c r="E960" s="706"/>
      <c r="F960" s="707"/>
    </row>
    <row r="961" spans="1:6" x14ac:dyDescent="0.3">
      <c r="A961" s="129"/>
      <c r="C961" s="706"/>
      <c r="D961" s="707"/>
      <c r="E961" s="706"/>
      <c r="F961" s="707"/>
    </row>
    <row r="962" spans="1:6" x14ac:dyDescent="0.3">
      <c r="A962" s="129"/>
      <c r="C962" s="706"/>
      <c r="D962" s="707"/>
      <c r="E962" s="706"/>
      <c r="F962" s="707"/>
    </row>
    <row r="963" spans="1:6" x14ac:dyDescent="0.3">
      <c r="A963" s="129"/>
      <c r="C963" s="139"/>
      <c r="D963" s="139"/>
      <c r="E963" s="139"/>
      <c r="F963" s="139"/>
    </row>
    <row r="964" spans="1:6" x14ac:dyDescent="0.3">
      <c r="C964" s="155" t="s">
        <v>603</v>
      </c>
      <c r="D964"/>
    </row>
  </sheetData>
  <sheetProtection sheet="1" objects="1" scenarios="1" formatCells="0" formatColumns="0" formatRows="0" insertHyperlinks="0" selectLockedCells="1" sort="0" autoFilter="0"/>
  <mergeCells count="320">
    <mergeCell ref="C8:F8"/>
    <mergeCell ref="C10:F10"/>
    <mergeCell ref="C12:D14"/>
    <mergeCell ref="E12:F14"/>
    <mergeCell ref="C20:F20"/>
    <mergeCell ref="C22:F22"/>
    <mergeCell ref="C44:F44"/>
    <mergeCell ref="C46:F46"/>
    <mergeCell ref="C48:D50"/>
    <mergeCell ref="E48:F50"/>
    <mergeCell ref="C56:F56"/>
    <mergeCell ref="C58:F58"/>
    <mergeCell ref="C24:D26"/>
    <mergeCell ref="E24:F26"/>
    <mergeCell ref="C32:F32"/>
    <mergeCell ref="C34:F34"/>
    <mergeCell ref="C36:D38"/>
    <mergeCell ref="E36:F38"/>
    <mergeCell ref="C80:F80"/>
    <mergeCell ref="C82:F82"/>
    <mergeCell ref="C84:D86"/>
    <mergeCell ref="E84:F86"/>
    <mergeCell ref="C92:F92"/>
    <mergeCell ref="C94:F94"/>
    <mergeCell ref="C60:D62"/>
    <mergeCell ref="E60:F62"/>
    <mergeCell ref="C68:F68"/>
    <mergeCell ref="C70:F70"/>
    <mergeCell ref="C72:D74"/>
    <mergeCell ref="E72:F74"/>
    <mergeCell ref="C116:F116"/>
    <mergeCell ref="C118:F118"/>
    <mergeCell ref="C120:D122"/>
    <mergeCell ref="E120:F122"/>
    <mergeCell ref="C128:F128"/>
    <mergeCell ref="C130:F130"/>
    <mergeCell ref="C96:D98"/>
    <mergeCell ref="E96:F98"/>
    <mergeCell ref="C104:F104"/>
    <mergeCell ref="C106:F106"/>
    <mergeCell ref="C108:D110"/>
    <mergeCell ref="E108:F110"/>
    <mergeCell ref="C152:F152"/>
    <mergeCell ref="C154:F154"/>
    <mergeCell ref="C156:D158"/>
    <mergeCell ref="E156:F158"/>
    <mergeCell ref="C164:F164"/>
    <mergeCell ref="C166:F166"/>
    <mergeCell ref="C132:D134"/>
    <mergeCell ref="E132:F134"/>
    <mergeCell ref="C140:F140"/>
    <mergeCell ref="C142:F142"/>
    <mergeCell ref="C144:D146"/>
    <mergeCell ref="E144:F146"/>
    <mergeCell ref="C188:F188"/>
    <mergeCell ref="C190:F190"/>
    <mergeCell ref="C192:D194"/>
    <mergeCell ref="E192:F194"/>
    <mergeCell ref="C200:F200"/>
    <mergeCell ref="C202:F202"/>
    <mergeCell ref="C168:D170"/>
    <mergeCell ref="E168:F170"/>
    <mergeCell ref="C176:F176"/>
    <mergeCell ref="C178:F178"/>
    <mergeCell ref="C180:D182"/>
    <mergeCell ref="E180:F182"/>
    <mergeCell ref="C224:F224"/>
    <mergeCell ref="C226:F226"/>
    <mergeCell ref="C228:D230"/>
    <mergeCell ref="E228:F230"/>
    <mergeCell ref="C236:F236"/>
    <mergeCell ref="C238:F238"/>
    <mergeCell ref="C204:D206"/>
    <mergeCell ref="E204:F206"/>
    <mergeCell ref="C212:F212"/>
    <mergeCell ref="C214:F214"/>
    <mergeCell ref="C216:D218"/>
    <mergeCell ref="E216:F218"/>
    <mergeCell ref="C260:F260"/>
    <mergeCell ref="C262:F262"/>
    <mergeCell ref="C264:D266"/>
    <mergeCell ref="E264:F266"/>
    <mergeCell ref="C272:F272"/>
    <mergeCell ref="C274:F274"/>
    <mergeCell ref="C240:D242"/>
    <mergeCell ref="E240:F242"/>
    <mergeCell ref="C248:F248"/>
    <mergeCell ref="C250:F250"/>
    <mergeCell ref="C252:D254"/>
    <mergeCell ref="E252:F254"/>
    <mergeCell ref="C296:F296"/>
    <mergeCell ref="C298:F298"/>
    <mergeCell ref="C300:D302"/>
    <mergeCell ref="E300:F302"/>
    <mergeCell ref="C308:F308"/>
    <mergeCell ref="C310:F310"/>
    <mergeCell ref="C276:D278"/>
    <mergeCell ref="E276:F278"/>
    <mergeCell ref="C284:F284"/>
    <mergeCell ref="C286:F286"/>
    <mergeCell ref="C288:D290"/>
    <mergeCell ref="E288:F290"/>
    <mergeCell ref="C332:F332"/>
    <mergeCell ref="C334:F334"/>
    <mergeCell ref="C336:D338"/>
    <mergeCell ref="E336:F338"/>
    <mergeCell ref="C344:F344"/>
    <mergeCell ref="C346:F346"/>
    <mergeCell ref="C312:D314"/>
    <mergeCell ref="E312:F314"/>
    <mergeCell ref="C320:F320"/>
    <mergeCell ref="C322:F322"/>
    <mergeCell ref="C324:D326"/>
    <mergeCell ref="E324:F326"/>
    <mergeCell ref="C368:F368"/>
    <mergeCell ref="C370:F370"/>
    <mergeCell ref="C372:D374"/>
    <mergeCell ref="E372:F374"/>
    <mergeCell ref="C380:F380"/>
    <mergeCell ref="C382:F382"/>
    <mergeCell ref="C348:D350"/>
    <mergeCell ref="E348:F350"/>
    <mergeCell ref="C356:F356"/>
    <mergeCell ref="C358:F358"/>
    <mergeCell ref="C360:D362"/>
    <mergeCell ref="E360:F362"/>
    <mergeCell ref="C404:F404"/>
    <mergeCell ref="C406:F406"/>
    <mergeCell ref="C408:D410"/>
    <mergeCell ref="E408:F410"/>
    <mergeCell ref="C416:F416"/>
    <mergeCell ref="C418:F418"/>
    <mergeCell ref="C384:D386"/>
    <mergeCell ref="E384:F386"/>
    <mergeCell ref="C392:F392"/>
    <mergeCell ref="C394:F394"/>
    <mergeCell ref="C396:D398"/>
    <mergeCell ref="E396:F398"/>
    <mergeCell ref="C440:F440"/>
    <mergeCell ref="C442:F442"/>
    <mergeCell ref="C444:D446"/>
    <mergeCell ref="E444:F446"/>
    <mergeCell ref="C452:F452"/>
    <mergeCell ref="C454:F454"/>
    <mergeCell ref="C420:D422"/>
    <mergeCell ref="E420:F422"/>
    <mergeCell ref="C428:F428"/>
    <mergeCell ref="C430:F430"/>
    <mergeCell ref="C432:D434"/>
    <mergeCell ref="E432:F434"/>
    <mergeCell ref="C476:F476"/>
    <mergeCell ref="C478:F478"/>
    <mergeCell ref="C480:D482"/>
    <mergeCell ref="E480:F482"/>
    <mergeCell ref="C488:F488"/>
    <mergeCell ref="C490:F490"/>
    <mergeCell ref="C456:D458"/>
    <mergeCell ref="E456:F458"/>
    <mergeCell ref="C464:F464"/>
    <mergeCell ref="C466:F466"/>
    <mergeCell ref="C468:D470"/>
    <mergeCell ref="E468:F470"/>
    <mergeCell ref="C512:F512"/>
    <mergeCell ref="C514:F514"/>
    <mergeCell ref="C516:D518"/>
    <mergeCell ref="E516:F518"/>
    <mergeCell ref="C524:F524"/>
    <mergeCell ref="C526:F526"/>
    <mergeCell ref="C492:D494"/>
    <mergeCell ref="E492:F494"/>
    <mergeCell ref="C500:F500"/>
    <mergeCell ref="C502:F502"/>
    <mergeCell ref="C504:D506"/>
    <mergeCell ref="E504:F506"/>
    <mergeCell ref="C548:F548"/>
    <mergeCell ref="C550:F550"/>
    <mergeCell ref="C552:D554"/>
    <mergeCell ref="E552:F554"/>
    <mergeCell ref="C560:F560"/>
    <mergeCell ref="C562:F562"/>
    <mergeCell ref="C528:D530"/>
    <mergeCell ref="E528:F530"/>
    <mergeCell ref="C536:F536"/>
    <mergeCell ref="C538:F538"/>
    <mergeCell ref="C540:D542"/>
    <mergeCell ref="E540:F542"/>
    <mergeCell ref="C584:F584"/>
    <mergeCell ref="C586:F586"/>
    <mergeCell ref="C588:D590"/>
    <mergeCell ref="E588:F590"/>
    <mergeCell ref="C596:F596"/>
    <mergeCell ref="C598:F598"/>
    <mergeCell ref="C564:D566"/>
    <mergeCell ref="E564:F566"/>
    <mergeCell ref="C572:F572"/>
    <mergeCell ref="C574:F574"/>
    <mergeCell ref="C576:D578"/>
    <mergeCell ref="E576:F578"/>
    <mergeCell ref="C620:F620"/>
    <mergeCell ref="C622:F622"/>
    <mergeCell ref="C624:D626"/>
    <mergeCell ref="E624:F626"/>
    <mergeCell ref="C632:F632"/>
    <mergeCell ref="C634:F634"/>
    <mergeCell ref="C600:D602"/>
    <mergeCell ref="E600:F602"/>
    <mergeCell ref="C608:F608"/>
    <mergeCell ref="C610:F610"/>
    <mergeCell ref="C612:D614"/>
    <mergeCell ref="E612:F614"/>
    <mergeCell ref="C656:F656"/>
    <mergeCell ref="C658:F658"/>
    <mergeCell ref="C660:D662"/>
    <mergeCell ref="E660:F662"/>
    <mergeCell ref="C668:F668"/>
    <mergeCell ref="C670:F670"/>
    <mergeCell ref="C636:D638"/>
    <mergeCell ref="E636:F638"/>
    <mergeCell ref="C644:F644"/>
    <mergeCell ref="C646:F646"/>
    <mergeCell ref="C648:D650"/>
    <mergeCell ref="E648:F650"/>
    <mergeCell ref="C692:F692"/>
    <mergeCell ref="C694:F694"/>
    <mergeCell ref="C696:D698"/>
    <mergeCell ref="E696:F698"/>
    <mergeCell ref="C704:F704"/>
    <mergeCell ref="C706:F706"/>
    <mergeCell ref="C672:D674"/>
    <mergeCell ref="E672:F674"/>
    <mergeCell ref="C680:F680"/>
    <mergeCell ref="C682:F682"/>
    <mergeCell ref="C684:D686"/>
    <mergeCell ref="E684:F686"/>
    <mergeCell ref="C728:F728"/>
    <mergeCell ref="C730:F730"/>
    <mergeCell ref="C732:D734"/>
    <mergeCell ref="E732:F734"/>
    <mergeCell ref="C740:F740"/>
    <mergeCell ref="C742:F742"/>
    <mergeCell ref="C708:D710"/>
    <mergeCell ref="E708:F710"/>
    <mergeCell ref="C716:F716"/>
    <mergeCell ref="C718:F718"/>
    <mergeCell ref="C720:D722"/>
    <mergeCell ref="E720:F722"/>
    <mergeCell ref="C764:F764"/>
    <mergeCell ref="C766:F766"/>
    <mergeCell ref="C768:D770"/>
    <mergeCell ref="E768:F770"/>
    <mergeCell ref="C776:F776"/>
    <mergeCell ref="C778:F778"/>
    <mergeCell ref="C744:D746"/>
    <mergeCell ref="E744:F746"/>
    <mergeCell ref="C752:F752"/>
    <mergeCell ref="C754:F754"/>
    <mergeCell ref="C756:D758"/>
    <mergeCell ref="E756:F758"/>
    <mergeCell ref="C800:F800"/>
    <mergeCell ref="C802:F802"/>
    <mergeCell ref="C804:D806"/>
    <mergeCell ref="E804:F806"/>
    <mergeCell ref="C812:F812"/>
    <mergeCell ref="C814:F814"/>
    <mergeCell ref="C780:D782"/>
    <mergeCell ref="E780:F782"/>
    <mergeCell ref="C788:F788"/>
    <mergeCell ref="C790:F790"/>
    <mergeCell ref="C792:D794"/>
    <mergeCell ref="E792:F794"/>
    <mergeCell ref="C836:F836"/>
    <mergeCell ref="C838:F838"/>
    <mergeCell ref="C840:D842"/>
    <mergeCell ref="E840:F842"/>
    <mergeCell ref="C848:F848"/>
    <mergeCell ref="C850:F850"/>
    <mergeCell ref="C816:D818"/>
    <mergeCell ref="E816:F818"/>
    <mergeCell ref="C824:F824"/>
    <mergeCell ref="C826:F826"/>
    <mergeCell ref="C828:D830"/>
    <mergeCell ref="E828:F830"/>
    <mergeCell ref="C872:F872"/>
    <mergeCell ref="C874:F874"/>
    <mergeCell ref="C876:D878"/>
    <mergeCell ref="E876:F878"/>
    <mergeCell ref="C884:F884"/>
    <mergeCell ref="C886:F886"/>
    <mergeCell ref="C852:D854"/>
    <mergeCell ref="E852:F854"/>
    <mergeCell ref="C860:F860"/>
    <mergeCell ref="C862:F862"/>
    <mergeCell ref="C864:D866"/>
    <mergeCell ref="E864:F866"/>
    <mergeCell ref="C908:F908"/>
    <mergeCell ref="C910:F910"/>
    <mergeCell ref="C912:D914"/>
    <mergeCell ref="E912:F914"/>
    <mergeCell ref="C920:F920"/>
    <mergeCell ref="C922:F922"/>
    <mergeCell ref="C888:D890"/>
    <mergeCell ref="E888:F890"/>
    <mergeCell ref="C896:F896"/>
    <mergeCell ref="C898:F898"/>
    <mergeCell ref="C900:D902"/>
    <mergeCell ref="E900:F902"/>
    <mergeCell ref="C960:D962"/>
    <mergeCell ref="E960:F962"/>
    <mergeCell ref="C944:F944"/>
    <mergeCell ref="C946:F946"/>
    <mergeCell ref="C948:D950"/>
    <mergeCell ref="E948:F950"/>
    <mergeCell ref="C956:F956"/>
    <mergeCell ref="C958:F958"/>
    <mergeCell ref="C924:D926"/>
    <mergeCell ref="E924:F926"/>
    <mergeCell ref="C932:F932"/>
    <mergeCell ref="C934:F934"/>
    <mergeCell ref="C936:D938"/>
    <mergeCell ref="E936:F938"/>
  </mergeCells>
  <pageMargins left="0.70866141732283472" right="0.70866141732283472" top="0.78740157480314965" bottom="0.78740157480314965" header="0.31496062992125984" footer="0.31496062992125984"/>
  <pageSetup paperSize="9" scale="75" orientation="portrait" horizontalDpi="300" verticalDpi="300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T14" sqref="T14"/>
      <selection pane="bottomLeft" activeCell="A2" sqref="A2"/>
    </sheetView>
  </sheetViews>
  <sheetFormatPr baseColWidth="10" defaultColWidth="11.44140625" defaultRowHeight="14.4" x14ac:dyDescent="0.3"/>
  <cols>
    <col min="1" max="1" width="7" style="591" customWidth="1"/>
    <col min="2" max="2" width="3.5546875" style="591" customWidth="1"/>
    <col min="3" max="3" width="40.5546875" style="591" customWidth="1"/>
    <col min="4" max="4" width="35.33203125" style="591" customWidth="1"/>
    <col min="5" max="5" width="11.6640625" style="591" bestFit="1" customWidth="1"/>
    <col min="6" max="6" width="6.44140625" style="591" customWidth="1"/>
    <col min="7" max="7" width="11.6640625" style="591" customWidth="1"/>
    <col min="8" max="8" width="14.109375" style="591" customWidth="1"/>
    <col min="9" max="9" width="4.5546875" style="591" hidden="1" customWidth="1"/>
    <col min="10" max="10" width="11.44140625" style="591"/>
    <col min="11" max="20" width="3" style="591" customWidth="1"/>
    <col min="21" max="16384" width="11.44140625" style="591"/>
  </cols>
  <sheetData>
    <row r="1" spans="1:19" s="586" customFormat="1" ht="42" customHeight="1" x14ac:dyDescent="0.3">
      <c r="A1" s="583"/>
      <c r="B1" s="623" t="str">
        <f ca="1">' '!A216</f>
        <v>Voulez-vous ouvrir le programme "Tableau de bord"?</v>
      </c>
      <c r="C1" s="583"/>
      <c r="D1" s="583"/>
      <c r="E1" s="583"/>
      <c r="F1" s="624"/>
      <c r="G1" s="625"/>
      <c r="H1" s="626"/>
      <c r="I1" s="583"/>
      <c r="J1" s="585"/>
      <c r="K1" s="585"/>
      <c r="L1" s="585"/>
      <c r="M1" s="585"/>
      <c r="N1" s="585"/>
      <c r="O1" s="585"/>
      <c r="P1" s="585"/>
      <c r="Q1" s="585"/>
      <c r="R1" s="585"/>
      <c r="S1" s="585"/>
    </row>
    <row r="2" spans="1:19" x14ac:dyDescent="0.3">
      <c r="B2" s="627"/>
    </row>
    <row r="3" spans="1:19" ht="15.6" x14ac:dyDescent="0.3">
      <c r="B3" s="628"/>
    </row>
    <row r="5" spans="1:19" ht="56.25" customHeight="1" x14ac:dyDescent="0.3">
      <c r="B5" s="628"/>
      <c r="D5" s="629" t="str">
        <f ca="1">' '!A217</f>
        <v>Assurez-vous, que le fichier "01_Cockpit.xlsm" se touve dans le même répertoire!</v>
      </c>
    </row>
    <row r="6" spans="1:19" ht="15.6" x14ac:dyDescent="0.3">
      <c r="B6" s="628"/>
    </row>
    <row r="7" spans="1:19" ht="15.6" x14ac:dyDescent="0.3">
      <c r="B7" s="628"/>
    </row>
    <row r="8" spans="1:19" x14ac:dyDescent="0.3">
      <c r="B8" s="630"/>
    </row>
    <row r="9" spans="1:19" ht="15.6" x14ac:dyDescent="0.3">
      <c r="B9" s="628"/>
    </row>
    <row r="10" spans="1:19" ht="15.6" x14ac:dyDescent="0.3">
      <c r="B10" s="628"/>
    </row>
    <row r="12" spans="1:19" ht="15.6" x14ac:dyDescent="0.3">
      <c r="B12" s="628"/>
      <c r="D12" s="593"/>
    </row>
    <row r="13" spans="1:19" x14ac:dyDescent="0.3">
      <c r="C13" s="593"/>
      <c r="D13" s="631"/>
      <c r="E13" s="631"/>
      <c r="F13" s="631"/>
      <c r="G13" s="631"/>
      <c r="H13" s="631"/>
    </row>
    <row r="14" spans="1:19" x14ac:dyDescent="0.3">
      <c r="B14" s="631"/>
      <c r="C14" s="631"/>
      <c r="D14" s="631"/>
      <c r="E14" s="631"/>
      <c r="F14" s="631"/>
      <c r="G14" s="631"/>
      <c r="H14" s="631"/>
    </row>
    <row r="15" spans="1:19" x14ac:dyDescent="0.3">
      <c r="B15" s="631"/>
      <c r="C15" s="631"/>
      <c r="D15" s="631"/>
      <c r="E15" s="631"/>
      <c r="F15" s="631"/>
      <c r="G15" s="631"/>
      <c r="H15" s="631"/>
    </row>
    <row r="16" spans="1:19" x14ac:dyDescent="0.3">
      <c r="B16" s="631"/>
      <c r="C16" s="631"/>
      <c r="D16" s="631"/>
      <c r="E16" s="631"/>
      <c r="F16" s="631"/>
      <c r="G16" s="631"/>
      <c r="H16" s="631"/>
    </row>
    <row r="17" spans="2:8" x14ac:dyDescent="0.3">
      <c r="B17" s="631"/>
      <c r="C17" s="631"/>
      <c r="D17" s="631"/>
      <c r="E17" s="631"/>
      <c r="F17" s="631"/>
      <c r="G17" s="631"/>
      <c r="H17" s="631"/>
    </row>
    <row r="18" spans="2:8" x14ac:dyDescent="0.3">
      <c r="B18" s="631"/>
      <c r="C18" s="631"/>
      <c r="D18" s="631"/>
      <c r="E18" s="631"/>
      <c r="F18" s="631"/>
      <c r="G18" s="631"/>
      <c r="H18" s="631"/>
    </row>
    <row r="19" spans="2:8" x14ac:dyDescent="0.3">
      <c r="B19" s="631"/>
      <c r="C19" s="631"/>
      <c r="D19" s="631"/>
      <c r="E19" s="631"/>
      <c r="F19" s="631"/>
      <c r="G19" s="631"/>
      <c r="H19" s="631"/>
    </row>
    <row r="20" spans="2:8" x14ac:dyDescent="0.3">
      <c r="B20" s="631"/>
      <c r="C20" s="631"/>
      <c r="D20" s="631"/>
      <c r="E20" s="631"/>
      <c r="F20" s="631"/>
      <c r="G20" s="631"/>
      <c r="H20" s="631"/>
    </row>
    <row r="21" spans="2:8" x14ac:dyDescent="0.3">
      <c r="B21" s="631"/>
      <c r="C21" s="631"/>
      <c r="D21" s="631"/>
      <c r="E21" s="631"/>
      <c r="F21" s="631"/>
      <c r="G21" s="631"/>
      <c r="H21" s="631"/>
    </row>
    <row r="22" spans="2:8" x14ac:dyDescent="0.3">
      <c r="B22" s="631"/>
      <c r="C22" s="631"/>
      <c r="D22" s="631"/>
      <c r="E22" s="631"/>
      <c r="F22" s="631"/>
      <c r="G22" s="631"/>
      <c r="H22" s="631"/>
    </row>
    <row r="23" spans="2:8" x14ac:dyDescent="0.3">
      <c r="B23" s="631"/>
      <c r="C23" s="631"/>
      <c r="D23" s="631"/>
      <c r="E23" s="631"/>
      <c r="F23" s="631"/>
      <c r="G23" s="631"/>
      <c r="H23" s="631"/>
    </row>
    <row r="24" spans="2:8" x14ac:dyDescent="0.3">
      <c r="B24" s="631"/>
      <c r="C24" s="631"/>
      <c r="D24" s="631"/>
      <c r="E24" s="631"/>
      <c r="F24" s="631"/>
      <c r="G24" s="631"/>
      <c r="H24" s="631"/>
    </row>
    <row r="25" spans="2:8" x14ac:dyDescent="0.3">
      <c r="B25" s="631"/>
      <c r="C25" s="631"/>
      <c r="D25" s="631"/>
      <c r="E25" s="631"/>
      <c r="F25" s="631"/>
      <c r="G25" s="631"/>
      <c r="H25" s="631"/>
    </row>
    <row r="26" spans="2:8" x14ac:dyDescent="0.3">
      <c r="B26" s="631"/>
      <c r="C26" s="631"/>
      <c r="D26" s="631"/>
      <c r="E26" s="631"/>
      <c r="F26" s="631"/>
      <c r="G26" s="631"/>
      <c r="H26" s="631"/>
    </row>
    <row r="27" spans="2:8" x14ac:dyDescent="0.3">
      <c r="B27" s="631"/>
      <c r="C27" s="631"/>
      <c r="D27" s="631"/>
      <c r="E27" s="631"/>
      <c r="F27" s="631"/>
      <c r="G27" s="631"/>
      <c r="H27" s="631"/>
    </row>
    <row r="28" spans="2:8" x14ac:dyDescent="0.3">
      <c r="B28" s="631"/>
      <c r="C28" s="631"/>
      <c r="D28" s="631"/>
      <c r="E28" s="631"/>
      <c r="F28" s="631"/>
      <c r="G28" s="631"/>
      <c r="H28" s="631"/>
    </row>
    <row r="29" spans="2:8" x14ac:dyDescent="0.3">
      <c r="B29" s="631"/>
    </row>
    <row r="30" spans="2:8" x14ac:dyDescent="0.3">
      <c r="B30" s="631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abelle9"/>
  <dimension ref="B4:F9"/>
  <sheetViews>
    <sheetView showGridLines="0" zoomScaleNormal="100" workbookViewId="0">
      <selection activeCell="D6" sqref="D6"/>
    </sheetView>
  </sheetViews>
  <sheetFormatPr baseColWidth="10" defaultColWidth="11.5546875" defaultRowHeight="14.4" x14ac:dyDescent="0.3"/>
  <cols>
    <col min="3" max="3" width="0.5546875" customWidth="1"/>
    <col min="4" max="4" width="32.44140625" customWidth="1"/>
    <col min="5" max="5" width="0.44140625" customWidth="1"/>
  </cols>
  <sheetData>
    <row r="4" spans="2:6" ht="20.25" customHeight="1" x14ac:dyDescent="0.3">
      <c r="B4" s="658"/>
      <c r="C4" s="658"/>
      <c r="D4" s="659" t="str">
        <f ca="1">' '!A45</f>
        <v>Votre logo:</v>
      </c>
      <c r="E4" s="658"/>
      <c r="F4" s="658"/>
    </row>
    <row r="5" spans="2:6" ht="3.75" customHeight="1" x14ac:dyDescent="0.3">
      <c r="B5" s="658"/>
      <c r="F5" s="658"/>
    </row>
    <row r="6" spans="2:6" ht="41.25" customHeight="1" x14ac:dyDescent="0.3">
      <c r="B6" s="658"/>
      <c r="D6" s="660"/>
      <c r="F6" s="658"/>
    </row>
    <row r="7" spans="2:6" ht="3" customHeight="1" x14ac:dyDescent="0.3">
      <c r="B7" s="658"/>
      <c r="F7" s="658"/>
    </row>
    <row r="8" spans="2:6" x14ac:dyDescent="0.3">
      <c r="B8" s="658"/>
      <c r="C8" s="658"/>
      <c r="D8" s="658"/>
      <c r="E8" s="658"/>
      <c r="F8" s="658"/>
    </row>
    <row r="9" spans="2:6" ht="9" customHeight="1" x14ac:dyDescent="0.3">
      <c r="B9" s="658"/>
      <c r="C9" s="658"/>
      <c r="D9" s="658"/>
      <c r="E9" s="658"/>
      <c r="F9" s="658"/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17</vt:i4>
      </vt:variant>
      <vt:variant>
        <vt:lpstr>Benannte Bereiche</vt:lpstr>
      </vt:variant>
      <vt:variant>
        <vt:i4>346</vt:i4>
      </vt:variant>
    </vt:vector>
  </HeadingPairs>
  <TitlesOfParts>
    <vt:vector size="363" baseType="lpstr">
      <vt:lpstr>Menu</vt:lpstr>
      <vt:lpstr>Kommunikationsquadrat</vt:lpstr>
      <vt:lpstr>Stakeholder</vt:lpstr>
      <vt:lpstr>PESTLE</vt:lpstr>
      <vt:lpstr>Swot-Analyse</vt:lpstr>
      <vt:lpstr>Benchmark</vt:lpstr>
      <vt:lpstr>Massnahmen</vt:lpstr>
      <vt:lpstr>Zielgruppe</vt:lpstr>
      <vt:lpstr>Distribution</vt:lpstr>
      <vt:lpstr>Empathy</vt:lpstr>
      <vt:lpstr>Risikomgmt</vt:lpstr>
      <vt:lpstr>Kommunikation</vt:lpstr>
      <vt:lpstr>Budget</vt:lpstr>
      <vt:lpstr>sIndikatoren</vt:lpstr>
      <vt:lpstr>oIndikatoren</vt:lpstr>
      <vt:lpstr>2Cockpit</vt:lpstr>
      <vt:lpstr>Logo</vt:lpstr>
      <vt:lpstr>__10</vt:lpstr>
      <vt:lpstr>__11</vt:lpstr>
      <vt:lpstr>__12</vt:lpstr>
      <vt:lpstr>__13</vt:lpstr>
      <vt:lpstr>__14</vt:lpstr>
      <vt:lpstr>__15</vt:lpstr>
      <vt:lpstr>__16</vt:lpstr>
      <vt:lpstr>__17</vt:lpstr>
      <vt:lpstr>__18</vt:lpstr>
      <vt:lpstr>__19</vt:lpstr>
      <vt:lpstr>__20</vt:lpstr>
      <vt:lpstr>__21</vt:lpstr>
      <vt:lpstr>__22</vt:lpstr>
      <vt:lpstr>__23</vt:lpstr>
      <vt:lpstr>__24</vt:lpstr>
      <vt:lpstr>__25</vt:lpstr>
      <vt:lpstr>__26</vt:lpstr>
      <vt:lpstr>__27</vt:lpstr>
      <vt:lpstr>__28</vt:lpstr>
      <vt:lpstr>__29</vt:lpstr>
      <vt:lpstr>__30</vt:lpstr>
      <vt:lpstr>__31</vt:lpstr>
      <vt:lpstr>__32</vt:lpstr>
      <vt:lpstr>__33</vt:lpstr>
      <vt:lpstr>__34</vt:lpstr>
      <vt:lpstr>__35</vt:lpstr>
      <vt:lpstr>__36</vt:lpstr>
      <vt:lpstr>__37</vt:lpstr>
      <vt:lpstr>__38</vt:lpstr>
      <vt:lpstr>__39</vt:lpstr>
      <vt:lpstr>__40</vt:lpstr>
      <vt:lpstr>__41</vt:lpstr>
      <vt:lpstr>__42</vt:lpstr>
      <vt:lpstr>__43</vt:lpstr>
      <vt:lpstr>__44</vt:lpstr>
      <vt:lpstr>__45</vt:lpstr>
      <vt:lpstr>__46</vt:lpstr>
      <vt:lpstr>__47</vt:lpstr>
      <vt:lpstr>__48</vt:lpstr>
      <vt:lpstr>__49</vt:lpstr>
      <vt:lpstr>__50</vt:lpstr>
      <vt:lpstr>__51</vt:lpstr>
      <vt:lpstr>__52</vt:lpstr>
      <vt:lpstr>__53</vt:lpstr>
      <vt:lpstr>__54</vt:lpstr>
      <vt:lpstr>__55</vt:lpstr>
      <vt:lpstr>__56</vt:lpstr>
      <vt:lpstr>__57</vt:lpstr>
      <vt:lpstr>__58</vt:lpstr>
      <vt:lpstr>__59</vt:lpstr>
      <vt:lpstr>__60</vt:lpstr>
      <vt:lpstr>__61</vt:lpstr>
      <vt:lpstr>__62</vt:lpstr>
      <vt:lpstr>__63</vt:lpstr>
      <vt:lpstr>__64</vt:lpstr>
      <vt:lpstr>__65</vt:lpstr>
      <vt:lpstr>__66</vt:lpstr>
      <vt:lpstr>__67</vt:lpstr>
      <vt:lpstr>__68</vt:lpstr>
      <vt:lpstr>__69</vt:lpstr>
      <vt:lpstr>__70</vt:lpstr>
      <vt:lpstr>__71</vt:lpstr>
      <vt:lpstr>__72</vt:lpstr>
      <vt:lpstr>__73</vt:lpstr>
      <vt:lpstr>__74</vt:lpstr>
      <vt:lpstr>__75</vt:lpstr>
      <vt:lpstr>__76</vt:lpstr>
      <vt:lpstr>__77</vt:lpstr>
      <vt:lpstr>__78</vt:lpstr>
      <vt:lpstr>__79</vt:lpstr>
      <vt:lpstr>__80</vt:lpstr>
      <vt:lpstr>__o1</vt:lpstr>
      <vt:lpstr>__o2</vt:lpstr>
      <vt:lpstr>__o3</vt:lpstr>
      <vt:lpstr>__o4</vt:lpstr>
      <vt:lpstr>__o5</vt:lpstr>
      <vt:lpstr>__o6</vt:lpstr>
      <vt:lpstr>__o7</vt:lpstr>
      <vt:lpstr>__o8</vt:lpstr>
      <vt:lpstr>__o9</vt:lpstr>
      <vt:lpstr>__s1</vt:lpstr>
      <vt:lpstr>__s10</vt:lpstr>
      <vt:lpstr>__s11</vt:lpstr>
      <vt:lpstr>__s12</vt:lpstr>
      <vt:lpstr>__s13</vt:lpstr>
      <vt:lpstr>__s14</vt:lpstr>
      <vt:lpstr>__s15</vt:lpstr>
      <vt:lpstr>__s16</vt:lpstr>
      <vt:lpstr>__s17</vt:lpstr>
      <vt:lpstr>__s18</vt:lpstr>
      <vt:lpstr>__s19</vt:lpstr>
      <vt:lpstr>__s2</vt:lpstr>
      <vt:lpstr>__s20</vt:lpstr>
      <vt:lpstr>__s21</vt:lpstr>
      <vt:lpstr>__s22</vt:lpstr>
      <vt:lpstr>__s23</vt:lpstr>
      <vt:lpstr>__s24</vt:lpstr>
      <vt:lpstr>__s25</vt:lpstr>
      <vt:lpstr>__s26</vt:lpstr>
      <vt:lpstr>__s27</vt:lpstr>
      <vt:lpstr>__s28</vt:lpstr>
      <vt:lpstr>__s29</vt:lpstr>
      <vt:lpstr>__s3</vt:lpstr>
      <vt:lpstr>__s30</vt:lpstr>
      <vt:lpstr>__s31</vt:lpstr>
      <vt:lpstr>__s32</vt:lpstr>
      <vt:lpstr>__s33</vt:lpstr>
      <vt:lpstr>__s34</vt:lpstr>
      <vt:lpstr>__s35</vt:lpstr>
      <vt:lpstr>__s36</vt:lpstr>
      <vt:lpstr>__s37</vt:lpstr>
      <vt:lpstr>__s38</vt:lpstr>
      <vt:lpstr>__s39</vt:lpstr>
      <vt:lpstr>__s4</vt:lpstr>
      <vt:lpstr>__s40</vt:lpstr>
      <vt:lpstr>__s5</vt:lpstr>
      <vt:lpstr>__s6</vt:lpstr>
      <vt:lpstr>__s7</vt:lpstr>
      <vt:lpstr>__s8</vt:lpstr>
      <vt:lpstr>__s9</vt:lpstr>
      <vt:lpstr>_i1</vt:lpstr>
      <vt:lpstr>_i10</vt:lpstr>
      <vt:lpstr>_i11</vt:lpstr>
      <vt:lpstr>_i12</vt:lpstr>
      <vt:lpstr>_i13</vt:lpstr>
      <vt:lpstr>_i14</vt:lpstr>
      <vt:lpstr>_i15</vt:lpstr>
      <vt:lpstr>_i16</vt:lpstr>
      <vt:lpstr>_i17</vt:lpstr>
      <vt:lpstr>_i18</vt:lpstr>
      <vt:lpstr>_i19</vt:lpstr>
      <vt:lpstr>_i2</vt:lpstr>
      <vt:lpstr>_i20</vt:lpstr>
      <vt:lpstr>_i21</vt:lpstr>
      <vt:lpstr>_i22</vt:lpstr>
      <vt:lpstr>_i23</vt:lpstr>
      <vt:lpstr>_i24</vt:lpstr>
      <vt:lpstr>_i25</vt:lpstr>
      <vt:lpstr>_i26</vt:lpstr>
      <vt:lpstr>_i27</vt:lpstr>
      <vt:lpstr>_i28</vt:lpstr>
      <vt:lpstr>_i29</vt:lpstr>
      <vt:lpstr>_i3</vt:lpstr>
      <vt:lpstr>_i30</vt:lpstr>
      <vt:lpstr>_i31</vt:lpstr>
      <vt:lpstr>_i32</vt:lpstr>
      <vt:lpstr>_i33</vt:lpstr>
      <vt:lpstr>_i34</vt:lpstr>
      <vt:lpstr>_i35</vt:lpstr>
      <vt:lpstr>_i36</vt:lpstr>
      <vt:lpstr>_i37</vt:lpstr>
      <vt:lpstr>_i38</vt:lpstr>
      <vt:lpstr>_i39</vt:lpstr>
      <vt:lpstr>_i4</vt:lpstr>
      <vt:lpstr>_i40</vt:lpstr>
      <vt:lpstr>_i41</vt:lpstr>
      <vt:lpstr>_i42</vt:lpstr>
      <vt:lpstr>_i43</vt:lpstr>
      <vt:lpstr>_i44</vt:lpstr>
      <vt:lpstr>_i45</vt:lpstr>
      <vt:lpstr>_i46</vt:lpstr>
      <vt:lpstr>_i47</vt:lpstr>
      <vt:lpstr>_i48</vt:lpstr>
      <vt:lpstr>_i49</vt:lpstr>
      <vt:lpstr>_i5</vt:lpstr>
      <vt:lpstr>_i50</vt:lpstr>
      <vt:lpstr>_i51</vt:lpstr>
      <vt:lpstr>_i52</vt:lpstr>
      <vt:lpstr>_i53</vt:lpstr>
      <vt:lpstr>_i54</vt:lpstr>
      <vt:lpstr>_i55</vt:lpstr>
      <vt:lpstr>_i56</vt:lpstr>
      <vt:lpstr>_i57</vt:lpstr>
      <vt:lpstr>_i58</vt:lpstr>
      <vt:lpstr>_i59</vt:lpstr>
      <vt:lpstr>_i6</vt:lpstr>
      <vt:lpstr>_i60</vt:lpstr>
      <vt:lpstr>_i7</vt:lpstr>
      <vt:lpstr>_i8</vt:lpstr>
      <vt:lpstr>_i9</vt:lpstr>
      <vt:lpstr>_o1</vt:lpstr>
      <vt:lpstr>_o10</vt:lpstr>
      <vt:lpstr>_o11</vt:lpstr>
      <vt:lpstr>_o12</vt:lpstr>
      <vt:lpstr>_o13</vt:lpstr>
      <vt:lpstr>_o14</vt:lpstr>
      <vt:lpstr>_o15</vt:lpstr>
      <vt:lpstr>_o16</vt:lpstr>
      <vt:lpstr>_o17</vt:lpstr>
      <vt:lpstr>_o18</vt:lpstr>
      <vt:lpstr>_o19</vt:lpstr>
      <vt:lpstr>_o2</vt:lpstr>
      <vt:lpstr>_o20</vt:lpstr>
      <vt:lpstr>_o21</vt:lpstr>
      <vt:lpstr>_o22</vt:lpstr>
      <vt:lpstr>_o23</vt:lpstr>
      <vt:lpstr>_o24</vt:lpstr>
      <vt:lpstr>_o25</vt:lpstr>
      <vt:lpstr>_o26</vt:lpstr>
      <vt:lpstr>_o27</vt:lpstr>
      <vt:lpstr>_o28</vt:lpstr>
      <vt:lpstr>_o29</vt:lpstr>
      <vt:lpstr>_o3</vt:lpstr>
      <vt:lpstr>_o30</vt:lpstr>
      <vt:lpstr>_o31</vt:lpstr>
      <vt:lpstr>_o32</vt:lpstr>
      <vt:lpstr>_o33</vt:lpstr>
      <vt:lpstr>_o34</vt:lpstr>
      <vt:lpstr>_o35</vt:lpstr>
      <vt:lpstr>_o36</vt:lpstr>
      <vt:lpstr>_o37</vt:lpstr>
      <vt:lpstr>_o38</vt:lpstr>
      <vt:lpstr>_o39</vt:lpstr>
      <vt:lpstr>_o4</vt:lpstr>
      <vt:lpstr>_o40</vt:lpstr>
      <vt:lpstr>_o41</vt:lpstr>
      <vt:lpstr>_o42</vt:lpstr>
      <vt:lpstr>_o43</vt:lpstr>
      <vt:lpstr>_o44</vt:lpstr>
      <vt:lpstr>_o45</vt:lpstr>
      <vt:lpstr>_o46</vt:lpstr>
      <vt:lpstr>_o47</vt:lpstr>
      <vt:lpstr>_o48</vt:lpstr>
      <vt:lpstr>_o49</vt:lpstr>
      <vt:lpstr>_o5</vt:lpstr>
      <vt:lpstr>_o50</vt:lpstr>
      <vt:lpstr>_o51</vt:lpstr>
      <vt:lpstr>_o52</vt:lpstr>
      <vt:lpstr>_o53</vt:lpstr>
      <vt:lpstr>_o54</vt:lpstr>
      <vt:lpstr>_o55</vt:lpstr>
      <vt:lpstr>_o56</vt:lpstr>
      <vt:lpstr>_o57</vt:lpstr>
      <vt:lpstr>_o58</vt:lpstr>
      <vt:lpstr>_o59</vt:lpstr>
      <vt:lpstr>_o6</vt:lpstr>
      <vt:lpstr>_o60</vt:lpstr>
      <vt:lpstr>_o61</vt:lpstr>
      <vt:lpstr>_o62</vt:lpstr>
      <vt:lpstr>_o63</vt:lpstr>
      <vt:lpstr>_o64</vt:lpstr>
      <vt:lpstr>_o65</vt:lpstr>
      <vt:lpstr>_o66</vt:lpstr>
      <vt:lpstr>_o67</vt:lpstr>
      <vt:lpstr>_o68</vt:lpstr>
      <vt:lpstr>_o69</vt:lpstr>
      <vt:lpstr>_o7</vt:lpstr>
      <vt:lpstr>_o70</vt:lpstr>
      <vt:lpstr>_o71</vt:lpstr>
      <vt:lpstr>_o72</vt:lpstr>
      <vt:lpstr>_o73</vt:lpstr>
      <vt:lpstr>_o74</vt:lpstr>
      <vt:lpstr>_o75</vt:lpstr>
      <vt:lpstr>_o76</vt:lpstr>
      <vt:lpstr>_o77</vt:lpstr>
      <vt:lpstr>_o78</vt:lpstr>
      <vt:lpstr>_o79</vt:lpstr>
      <vt:lpstr>_o8</vt:lpstr>
      <vt:lpstr>_o80</vt:lpstr>
      <vt:lpstr>_o9</vt:lpstr>
      <vt:lpstr>_s1</vt:lpstr>
      <vt:lpstr>_s10</vt:lpstr>
      <vt:lpstr>_s11</vt:lpstr>
      <vt:lpstr>_s12</vt:lpstr>
      <vt:lpstr>_s13</vt:lpstr>
      <vt:lpstr>_s14</vt:lpstr>
      <vt:lpstr>_s15</vt:lpstr>
      <vt:lpstr>_s16</vt:lpstr>
      <vt:lpstr>_s17</vt:lpstr>
      <vt:lpstr>_s18</vt:lpstr>
      <vt:lpstr>_s19</vt:lpstr>
      <vt:lpstr>_s2</vt:lpstr>
      <vt:lpstr>_s20</vt:lpstr>
      <vt:lpstr>_s21</vt:lpstr>
      <vt:lpstr>_s22</vt:lpstr>
      <vt:lpstr>_s23</vt:lpstr>
      <vt:lpstr>_s24</vt:lpstr>
      <vt:lpstr>_s25</vt:lpstr>
      <vt:lpstr>_s26</vt:lpstr>
      <vt:lpstr>_s27</vt:lpstr>
      <vt:lpstr>_s28</vt:lpstr>
      <vt:lpstr>_s29</vt:lpstr>
      <vt:lpstr>_s3</vt:lpstr>
      <vt:lpstr>_s30</vt:lpstr>
      <vt:lpstr>_s31</vt:lpstr>
      <vt:lpstr>_s32</vt:lpstr>
      <vt:lpstr>_s33</vt:lpstr>
      <vt:lpstr>_s34</vt:lpstr>
      <vt:lpstr>_s35</vt:lpstr>
      <vt:lpstr>_s36</vt:lpstr>
      <vt:lpstr>_s37</vt:lpstr>
      <vt:lpstr>_s38</vt:lpstr>
      <vt:lpstr>_s39</vt:lpstr>
      <vt:lpstr>_s4</vt:lpstr>
      <vt:lpstr>_s40</vt:lpstr>
      <vt:lpstr>_s5</vt:lpstr>
      <vt:lpstr>_s6</vt:lpstr>
      <vt:lpstr>_s7</vt:lpstr>
      <vt:lpstr>_s8</vt:lpstr>
      <vt:lpstr>_s9</vt:lpstr>
      <vt:lpstr>Datum</vt:lpstr>
      <vt:lpstr>'2Cockpit'!Druckbereich</vt:lpstr>
      <vt:lpstr>Benchmark!Druckbereich</vt:lpstr>
      <vt:lpstr>Budget!Druckbereich</vt:lpstr>
      <vt:lpstr>Distribution!Druckbereich</vt:lpstr>
      <vt:lpstr>Empathy!Druckbereich</vt:lpstr>
      <vt:lpstr>Kommunikation!Druckbereich</vt:lpstr>
      <vt:lpstr>Kommunikationsquadrat!Druckbereich</vt:lpstr>
      <vt:lpstr>Massnahmen!Druckbereich</vt:lpstr>
      <vt:lpstr>oIndikatoren!Druckbereich</vt:lpstr>
      <vt:lpstr>PESTLE!Druckbereich</vt:lpstr>
      <vt:lpstr>Risikomgmt!Druckbereich</vt:lpstr>
      <vt:lpstr>sIndikatoren!Druckbereich</vt:lpstr>
      <vt:lpstr>Stakeholder!Druckbereich</vt:lpstr>
      <vt:lpstr>'Swot-Analyse'!Druckbereich</vt:lpstr>
      <vt:lpstr>Zielgruppe!Druckbereich</vt:lpstr>
      <vt:lpstr>'2Cockpit'!Drucktitel</vt:lpstr>
      <vt:lpstr>Budget!Drucktitel</vt:lpstr>
      <vt:lpstr>Empathy!Drucktitel</vt:lpstr>
      <vt:lpstr>Massnahmen!Drucktitel</vt:lpstr>
      <vt:lpstr>Stakeholder!Drucktitel</vt:lpstr>
      <vt:lpstr>sIndikatoren!durchAlterDerMA</vt:lpstr>
      <vt:lpstr>graph_2_stakeholder</vt:lpstr>
      <vt:lpstr>graph_pestel</vt:lpstr>
      <vt:lpstr>Graph_Produkte</vt:lpstr>
      <vt:lpstr>Graph_Risk</vt:lpstr>
      <vt:lpstr>graph_stakeholder</vt:lpstr>
      <vt:lpstr>Sprachen</vt:lpstr>
      <vt:lpstr>Strategie_1</vt:lpstr>
      <vt:lpstr>Strategie_10</vt:lpstr>
      <vt:lpstr>Strategie_2</vt:lpstr>
      <vt:lpstr>Strategie_3</vt:lpstr>
      <vt:lpstr>Strategie_4</vt:lpstr>
      <vt:lpstr>Strategie_5</vt:lpstr>
      <vt:lpstr>Strategie_6</vt:lpstr>
      <vt:lpstr>Strategie_7</vt:lpstr>
      <vt:lpstr>Strategie_8</vt:lpstr>
      <vt:lpstr>Strategie_9</vt:lpstr>
      <vt:lpstr>top</vt:lpstr>
      <vt:lpstr>Distribution!top_distribution</vt:lpstr>
      <vt:lpstr>'2Cockpit'!top_kennzahlen</vt:lpstr>
      <vt:lpstr>Distribution!top_markt</vt:lpstr>
      <vt:lpstr>Empathy!top_markt</vt:lpstr>
      <vt:lpstr>top_massnahmen</vt:lpstr>
      <vt:lpstr>Kommunikation!top_Porter</vt:lpstr>
      <vt:lpstr>top_swot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Marketing</dc:title>
  <dc:creator>iSerge</dc:creator>
  <cp:lastModifiedBy>Imboden Serge</cp:lastModifiedBy>
  <cp:lastPrinted>2014-12-14T17:48:48Z</cp:lastPrinted>
  <dcterms:created xsi:type="dcterms:W3CDTF">2010-11-08T10:14:07Z</dcterms:created>
  <dcterms:modified xsi:type="dcterms:W3CDTF">2026-01-28T16:01:06Z</dcterms:modified>
  <cp:category>iManagment</cp:category>
</cp:coreProperties>
</file>