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trlProps/ctrlProp4.xml" ContentType="application/vnd.ms-excel.controlproperties+xml"/>
  <Override PartName="/xl/charts/chart6.xml" ContentType="application/vnd.openxmlformats-officedocument.drawingml.chart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16.xml" ContentType="application/vnd.openxmlformats-officedocument.drawingml.chart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tables/table1.xml" ContentType="application/vnd.openxmlformats-officedocument.spreadsheetml.tab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tables/table2.xml" ContentType="application/vnd.openxmlformats-officedocument.spreadsheetml.table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harts/chart21.xml" ContentType="application/vnd.openxmlformats-officedocument.drawingml.chart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harts/chart2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2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DieseArbeitsmappe"/>
  <mc:AlternateContent xmlns:mc="http://schemas.openxmlformats.org/markup-compatibility/2006">
    <mc:Choice Requires="x15">
      <x15ac:absPath xmlns:x15ac="http://schemas.microsoft.com/office/spreadsheetml/2010/11/ac" url="D:\Dropbox\@fileswork\@iManagement\"/>
    </mc:Choice>
  </mc:AlternateContent>
  <xr:revisionPtr revIDLastSave="0" documentId="13_ncr:1_{C50BCF80-7D6C-4CBD-B46F-6760F1A923C0}" xr6:coauthVersionLast="47" xr6:coauthVersionMax="47" xr10:uidLastSave="{00000000-0000-0000-0000-000000000000}"/>
  <bookViews>
    <workbookView showSheetTabs="0" xWindow="-108" yWindow="-108" windowWidth="46296" windowHeight="25416" tabRatio="830" firstSheet="1" activeTab="1" xr2:uid="{00000000-000D-0000-FFFF-FFFF00000000}"/>
  </bookViews>
  <sheets>
    <sheet name=" " sheetId="82" state="veryHidden" r:id="rId1"/>
    <sheet name="Projektmgmt" sheetId="44" r:id="rId2"/>
    <sheet name="Projektteam" sheetId="58" r:id="rId3"/>
    <sheet name="Projektauftrag" sheetId="45" r:id="rId4"/>
    <sheet name="Detailplan" sheetId="49" r:id="rId5"/>
    <sheet name="Projektstand" sheetId="47" r:id="rId6"/>
    <sheet name="Projektabschluss" sheetId="48" r:id="rId7"/>
    <sheet name="Indicators" sheetId="109" r:id="rId8"/>
    <sheet name="Stakeholder" sheetId="105" r:id="rId9"/>
    <sheet name="Sitzungen" sheetId="103" r:id="rId10"/>
    <sheet name="Liste de tâches" sheetId="124" r:id="rId11"/>
    <sheet name="FAQ" sheetId="121" r:id="rId12"/>
    <sheet name="Projektbudget" sheetId="84" r:id="rId13"/>
    <sheet name="Grobkonzept" sheetId="83" r:id="rId14"/>
    <sheet name="Detailkonzept" sheetId="52" r:id="rId15"/>
    <sheet name="Projektcontrolling" sheetId="94" r:id="rId16"/>
    <sheet name="Notizen" sheetId="100" r:id="rId17"/>
    <sheet name="Swot-Analyse" sheetId="92" r:id="rId18"/>
    <sheet name="Risikomgmt" sheetId="88" r:id="rId19"/>
    <sheet name="Kalender" sheetId="96" r:id="rId20"/>
    <sheet name="Logo" sheetId="104" r:id="rId21"/>
  </sheets>
  <externalReferences>
    <externalReference r:id="rId22"/>
    <externalReference r:id="rId23"/>
  </externalReferences>
  <definedNames>
    <definedName name="__s1">[1]Massnahmen!$E$6</definedName>
    <definedName name="__s10">[1]Massnahmen!$E$24</definedName>
    <definedName name="__s11">[1]Massnahmen!$E$26</definedName>
    <definedName name="__s12">[1]Massnahmen!$E$28</definedName>
    <definedName name="__s13">[1]Massnahmen!$E$30</definedName>
    <definedName name="__s14">[1]Massnahmen!$E$32</definedName>
    <definedName name="__s15">[1]Massnahmen!$E$34</definedName>
    <definedName name="__s16">[1]Massnahmen!$E$36</definedName>
    <definedName name="__s17">[1]Massnahmen!$E$38</definedName>
    <definedName name="__s18">[1]Massnahmen!$E$40</definedName>
    <definedName name="__s19">[1]Massnahmen!$E$42</definedName>
    <definedName name="__s20">[1]Massnahmen!$E$44</definedName>
    <definedName name="__s21">[1]Massnahmen!$E$46</definedName>
    <definedName name="__s22">[1]Massnahmen!$E$48</definedName>
    <definedName name="__s23">[1]Massnahmen!$E$50</definedName>
    <definedName name="__s24">[1]Massnahmen!$E$52</definedName>
    <definedName name="__s25">[1]Massnahmen!$E$54</definedName>
    <definedName name="__s26">[1]Massnahmen!$E$56</definedName>
    <definedName name="__s27">[1]Massnahmen!$E$58</definedName>
    <definedName name="__s28">[1]Massnahmen!$E$60</definedName>
    <definedName name="__s29">[1]Massnahmen!$E$62</definedName>
    <definedName name="__s3">[1]Massnahmen!$E$10</definedName>
    <definedName name="__s30">[1]Massnahmen!$E$64</definedName>
    <definedName name="__s31">[1]Massnahmen!$E$66</definedName>
    <definedName name="__s32">[1]Massnahmen!$E$68</definedName>
    <definedName name="__s33">[1]Massnahmen!$E$70</definedName>
    <definedName name="__s34">[1]Massnahmen!$E$72</definedName>
    <definedName name="__s35">[1]Massnahmen!$E$74</definedName>
    <definedName name="__s36">[1]Massnahmen!$E$76</definedName>
    <definedName name="__s37">[1]Massnahmen!$E$78</definedName>
    <definedName name="__s38">[1]Massnahmen!$E$80</definedName>
    <definedName name="__s39">[1]Massnahmen!$E$82</definedName>
    <definedName name="__s4">[1]Massnahmen!$E$12</definedName>
    <definedName name="__s40">[1]Massnahmen!$E$84</definedName>
    <definedName name="__s5">[1]Massnahmen!$E$14</definedName>
    <definedName name="__s6">[1]Massnahmen!$E$16</definedName>
    <definedName name="__s7">[1]Massnahmen!$E$18</definedName>
    <definedName name="__s8">[1]Massnahmen!$E$20</definedName>
    <definedName name="__s9">[1]Massnahmen!$E$22</definedName>
    <definedName name="_xlnm._FilterDatabase" localSheetId="0" hidden="1">' '!$A$2:$WVL$811</definedName>
    <definedName name="_xlnm._FilterDatabase" localSheetId="4" hidden="1">Detailplan!$B$14:$K$229</definedName>
    <definedName name="_xlnm._FilterDatabase" localSheetId="11" hidden="1">FAQ!$C$4:$E$91</definedName>
    <definedName name="_xlnm._FilterDatabase" localSheetId="15" hidden="1">Projektcontrolling!$C$5:$J$89</definedName>
    <definedName name="_xlnm._FilterDatabase" localSheetId="1" hidden="1">Projektmgmt!$D$17:$P$17</definedName>
    <definedName name="_xlnm._FilterDatabase" localSheetId="2" hidden="1">Projektteam!$B$10:$AM$37</definedName>
    <definedName name="_xlnm._FilterDatabase" localSheetId="9" hidden="1">Sitzungen!$C$4:$F$91</definedName>
    <definedName name="_xlnm._FilterDatabase" localSheetId="17" hidden="1">'Swot-Analyse'!$E$6:$N$47</definedName>
    <definedName name="_i1">[1]Kennzahlen!$D$7</definedName>
    <definedName name="_i10">[1]Kennzahlen!$D$16</definedName>
    <definedName name="_i11">[1]Kennzahlen!$D$17</definedName>
    <definedName name="_i12">[1]Kennzahlen!$D$18</definedName>
    <definedName name="_i13">[1]Kennzahlen!$D$19</definedName>
    <definedName name="_i14">[1]Kennzahlen!$D$20</definedName>
    <definedName name="_i15">[1]Kennzahlen!$D$21</definedName>
    <definedName name="_i16">[1]Kennzahlen!$D$22</definedName>
    <definedName name="_i17">[1]Kennzahlen!$D$23</definedName>
    <definedName name="_i18">[1]Kennzahlen!$D$24</definedName>
    <definedName name="_i19">[1]Kennzahlen!$D$25</definedName>
    <definedName name="_i2">[1]Kennzahlen!$D$8</definedName>
    <definedName name="_i20">[1]Kennzahlen!$D$26</definedName>
    <definedName name="_i21">[1]Kennzahlen!$D$27</definedName>
    <definedName name="_i22">[1]Kennzahlen!$D$28</definedName>
    <definedName name="_i23">[1]Kennzahlen!$D$29</definedName>
    <definedName name="_i24">[1]Kennzahlen!$D$30</definedName>
    <definedName name="_i25">[1]Kennzahlen!$D$31</definedName>
    <definedName name="_i26">[1]Kennzahlen!$D$32</definedName>
    <definedName name="_i27">[1]Kennzahlen!$D$33</definedName>
    <definedName name="_i28">[1]Kennzahlen!$D$34</definedName>
    <definedName name="_i29">[1]Kennzahlen!$D$35</definedName>
    <definedName name="_i3">[1]Kennzahlen!$D$9</definedName>
    <definedName name="_i30">[1]Kennzahlen!$D$36</definedName>
    <definedName name="_i31">[1]Kennzahlen!$D$37</definedName>
    <definedName name="_i32">[1]Kennzahlen!$D$38</definedName>
    <definedName name="_i33">[1]Kennzahlen!$D$39</definedName>
    <definedName name="_i34">[1]Kennzahlen!$D$40</definedName>
    <definedName name="_i35">[1]Kennzahlen!$D$41</definedName>
    <definedName name="_i36">[1]Kennzahlen!$D$42</definedName>
    <definedName name="_i37">[1]Kennzahlen!$D$43</definedName>
    <definedName name="_i38">[1]Kennzahlen!$D$44</definedName>
    <definedName name="_i39">[1]Kennzahlen!$D$45</definedName>
    <definedName name="_i4">[1]Kennzahlen!$D$10</definedName>
    <definedName name="_i40">[1]Kennzahlen!$D$46</definedName>
    <definedName name="_i41">[1]Kennzahlen!$D$47</definedName>
    <definedName name="_i42">[1]Kennzahlen!$D$48</definedName>
    <definedName name="_i43">[1]Kennzahlen!$D$49</definedName>
    <definedName name="_i44">[1]Kennzahlen!$D$50</definedName>
    <definedName name="_i45">[1]Kennzahlen!$D$51</definedName>
    <definedName name="_i46">[1]Kennzahlen!$D$52</definedName>
    <definedName name="_i47">[1]Kennzahlen!$D$53</definedName>
    <definedName name="_i48">[1]Kennzahlen!$D$54</definedName>
    <definedName name="_i49">[1]Kennzahlen!$D$55</definedName>
    <definedName name="_i5">[1]Kennzahlen!$D$11</definedName>
    <definedName name="_i50">[1]Kennzahlen!$D$56</definedName>
    <definedName name="_i51">[1]Kennzahlen!$D$57</definedName>
    <definedName name="_i52">[1]Kennzahlen!$D$58</definedName>
    <definedName name="_i53">[1]Kennzahlen!$D$59</definedName>
    <definedName name="_i54">[1]Kennzahlen!$D$60</definedName>
    <definedName name="_i55">[1]Kennzahlen!$D$61</definedName>
    <definedName name="_i56">[1]Kennzahlen!$D$62</definedName>
    <definedName name="_i57">[1]Kennzahlen!$D$63</definedName>
    <definedName name="_i58">[1]Kennzahlen!$D$64</definedName>
    <definedName name="_i59">[1]Kennzahlen!$D$65</definedName>
    <definedName name="_i6">[1]Kennzahlen!$D$12</definedName>
    <definedName name="_i60">[1]Kennzahlen!$D$66</definedName>
    <definedName name="_i7">[1]Kennzahlen!$D$13</definedName>
    <definedName name="_i8">[1]Kennzahlen!$D$14</definedName>
    <definedName name="_i9">[1]Kennzahlen!$D$15</definedName>
    <definedName name="_o1">[1]Massnahmen!$P$6</definedName>
    <definedName name="_o10">[1]Massnahmen!$P$15</definedName>
    <definedName name="_o11">[1]Massnahmen!$P$16</definedName>
    <definedName name="_o12">[1]Massnahmen!$P$17</definedName>
    <definedName name="_o13">[1]Massnahmen!$P$18</definedName>
    <definedName name="_o14">[1]Massnahmen!$P$19</definedName>
    <definedName name="_o15">[1]Massnahmen!$P$20</definedName>
    <definedName name="_o16">[1]Massnahmen!$P$21</definedName>
    <definedName name="_o17">[1]Massnahmen!$P$22</definedName>
    <definedName name="_o18">[1]Massnahmen!$P$23</definedName>
    <definedName name="_o19">[1]Massnahmen!$P$24</definedName>
    <definedName name="_o2">[1]Massnahmen!$P$7</definedName>
    <definedName name="_o20">[1]Massnahmen!$P$25</definedName>
    <definedName name="_o21">[1]Massnahmen!$P$26</definedName>
    <definedName name="_o22">[1]Massnahmen!$P$27</definedName>
    <definedName name="_o23">[1]Massnahmen!$P$28</definedName>
    <definedName name="_o24">[1]Massnahmen!$P$29</definedName>
    <definedName name="_o25">[1]Massnahmen!$P$30</definedName>
    <definedName name="_o26">[1]Massnahmen!$P$31</definedName>
    <definedName name="_o27">[1]Massnahmen!$P$32</definedName>
    <definedName name="_o28">[1]Massnahmen!$P$33</definedName>
    <definedName name="_o29">[1]Massnahmen!$P$34</definedName>
    <definedName name="_o3">[1]Massnahmen!$P$8</definedName>
    <definedName name="_o30">[1]Massnahmen!$P$35</definedName>
    <definedName name="_o31">[1]Massnahmen!$P$36</definedName>
    <definedName name="_o32">[1]Massnahmen!$P$37</definedName>
    <definedName name="_o33">[1]Massnahmen!$P$38</definedName>
    <definedName name="_o34">[1]Massnahmen!$P$39</definedName>
    <definedName name="_o35">[1]Massnahmen!$P$40</definedName>
    <definedName name="_o36">[1]Massnahmen!$P$41</definedName>
    <definedName name="_o37">[1]Massnahmen!$P$42</definedName>
    <definedName name="_o38">[1]Massnahmen!$P$43</definedName>
    <definedName name="_o39">[1]Massnahmen!$P$44</definedName>
    <definedName name="_o4">[1]Massnahmen!$P$9</definedName>
    <definedName name="_o40">[1]Massnahmen!$P$45</definedName>
    <definedName name="_o41">[1]Massnahmen!$P$46</definedName>
    <definedName name="_o42">[1]Massnahmen!$P$47</definedName>
    <definedName name="_o43">[1]Massnahmen!$P$48</definedName>
    <definedName name="_o44">[1]Massnahmen!$P$49</definedName>
    <definedName name="_o45">[1]Massnahmen!$P$50</definedName>
    <definedName name="_o46">[1]Massnahmen!$P$51</definedName>
    <definedName name="_o47">[1]Massnahmen!$P$52</definedName>
    <definedName name="_o48">[1]Massnahmen!$P$53</definedName>
    <definedName name="_o49">[1]Massnahmen!$P$54</definedName>
    <definedName name="_o5">[1]Massnahmen!$P$10</definedName>
    <definedName name="_o50">[1]Massnahmen!$P$55</definedName>
    <definedName name="_o51">[1]Massnahmen!$P$56</definedName>
    <definedName name="_o52">[1]Massnahmen!$P$57</definedName>
    <definedName name="_o53">[1]Massnahmen!$P$58</definedName>
    <definedName name="_o54">[1]Massnahmen!$P$59</definedName>
    <definedName name="_o55">[1]Massnahmen!$P$60</definedName>
    <definedName name="_o56">[1]Massnahmen!$P$61</definedName>
    <definedName name="_o57">[1]Massnahmen!$P$62</definedName>
    <definedName name="_o58">[1]Massnahmen!$P$63</definedName>
    <definedName name="_o59">[1]Massnahmen!$P$64</definedName>
    <definedName name="_o6">[1]Massnahmen!$P$11</definedName>
    <definedName name="_o60">[1]Massnahmen!$P$65</definedName>
    <definedName name="_o61">[1]Massnahmen!$P$66</definedName>
    <definedName name="_o62">[1]Massnahmen!$P$67</definedName>
    <definedName name="_o63">[1]Massnahmen!$P$68</definedName>
    <definedName name="_o64">[1]Massnahmen!$P$69</definedName>
    <definedName name="_o65">[1]Massnahmen!$P$70</definedName>
    <definedName name="_o66">[1]Massnahmen!$P$71</definedName>
    <definedName name="_o67">[1]Massnahmen!$P$72</definedName>
    <definedName name="_o68">[1]Massnahmen!$P$73</definedName>
    <definedName name="_o69">[1]Massnahmen!$P$74</definedName>
    <definedName name="_o7">[1]Massnahmen!$P$12</definedName>
    <definedName name="_o70">[1]Massnahmen!$P$75</definedName>
    <definedName name="_o71">[1]Massnahmen!$P$76</definedName>
    <definedName name="_o72">[1]Massnahmen!$P$77</definedName>
    <definedName name="_o73">[1]Massnahmen!$P$78</definedName>
    <definedName name="_o74">[1]Massnahmen!$P$79</definedName>
    <definedName name="_o75">[1]Massnahmen!$P$80</definedName>
    <definedName name="_o76">[1]Massnahmen!$P$81</definedName>
    <definedName name="_o77">[1]Massnahmen!$P$82</definedName>
    <definedName name="_o78">[1]Massnahmen!$P$83</definedName>
    <definedName name="_o79">[1]Massnahmen!$P$84</definedName>
    <definedName name="_o8">[1]Massnahmen!$P$13</definedName>
    <definedName name="_o80">[1]Massnahmen!$P$85</definedName>
    <definedName name="_o9">[1]Massnahmen!$P$14</definedName>
    <definedName name="_Toc343329675" localSheetId="13">Grobkonzept!$D$16</definedName>
    <definedName name="_Toc343329676" localSheetId="13">Grobkonzept!$D$24</definedName>
    <definedName name="_Toc343329677" localSheetId="13">Grobkonzept!$D$32</definedName>
    <definedName name="_Toc343329678" localSheetId="13">Grobkonzept!$D$39</definedName>
    <definedName name="_Toc343329679" localSheetId="13">Grobkonzept!$D$43</definedName>
    <definedName name="_Toc343329680" localSheetId="13">Grobkonzept!$D$48</definedName>
    <definedName name="_Toc343329681" localSheetId="13">Grobkonzept!$D$52</definedName>
    <definedName name="_Toc343522476" localSheetId="14">Detailkonzept!$D$35</definedName>
    <definedName name="_Toc343522477" localSheetId="14">Detailkonzept!$D$42</definedName>
    <definedName name="_Toc343522478" localSheetId="14">Detailkonzept!$D$47</definedName>
    <definedName name="_Toc343522479" localSheetId="14">Detailkonzept!$D$52</definedName>
    <definedName name="_Toc343522480" localSheetId="14">Detailkonzept!$D$57</definedName>
    <definedName name="_Toc343522481" localSheetId="14">Detailkonzept!$D$62</definedName>
    <definedName name="_Toc345954867" localSheetId="13">Grobkonzept!$E$24</definedName>
    <definedName name="_Toc345954868" localSheetId="13">Grobkonzept!$E$32</definedName>
    <definedName name="_Toc345954869" localSheetId="13">Grobkonzept!$E$39</definedName>
    <definedName name="_Toc345954870" localSheetId="13">Grobkonzept!$E$43</definedName>
    <definedName name="_Toc345954871" localSheetId="13">Grobkonzept!$E$48</definedName>
    <definedName name="_Toc345954872" localSheetId="13">Grobkonzept!$E$52</definedName>
    <definedName name="Année_civile">'Liste de tâches'!$N$1</definedName>
    <definedName name="Bars">OFFSET([2]Pareto!$F$7,0,0,COUNT([2]Pareto!$F:$F))</definedName>
    <definedName name="Datum">' '!$W$4</definedName>
    <definedName name="_xlnm.Print_Area" localSheetId="14">Detailkonzept!$B$1:$D$69</definedName>
    <definedName name="_xlnm.Print_Area" localSheetId="4">Detailplan!$A$1:$L$229</definedName>
    <definedName name="_xlnm.Print_Area" localSheetId="11">FAQ!$C$1:$E$92</definedName>
    <definedName name="_xlnm.Print_Area" localSheetId="13">Grobkonzept!$B$1:$D$55</definedName>
    <definedName name="_xlnm.Print_Area" localSheetId="19">Kalender!$B$3:$X$40</definedName>
    <definedName name="_xlnm.Print_Area" localSheetId="16">Notizen!$B$1:$E$6</definedName>
    <definedName name="_xlnm.Print_Area" localSheetId="6">Projektabschluss!$A$1:$L$56</definedName>
    <definedName name="_xlnm.Print_Area" localSheetId="3">Projektauftrag!$A$1:$J$57</definedName>
    <definedName name="_xlnm.Print_Area" localSheetId="12">Projektbudget!$C$1:$DJ$79</definedName>
    <definedName name="_xlnm.Print_Area" localSheetId="15">Projektcontrolling!$B$1:$K$90</definedName>
    <definedName name="_xlnm.Print_Area" localSheetId="1">Projektmgmt!$B$1:$R$92</definedName>
    <definedName name="_xlnm.Print_Area" localSheetId="5">Projektstand!$A$1:$L$66</definedName>
    <definedName name="_xlnm.Print_Area" localSheetId="2">Projektteam!$A$1:$AM$36</definedName>
    <definedName name="_xlnm.Print_Area" localSheetId="18">Risikomgmt!$A$1:$I$53</definedName>
    <definedName name="_xlnm.Print_Area" localSheetId="9">Sitzungen!$C$1:$F$92</definedName>
    <definedName name="_xlnm.Print_Area" localSheetId="8">Stakeholder!$B$1:$J$76</definedName>
    <definedName name="_xlnm.Print_Area" localSheetId="17">'Swot-Analyse'!$B$1:$Q$78</definedName>
    <definedName name="_xlnm.Print_Titles" localSheetId="4">Detailplan!$12:$13</definedName>
    <definedName name="_xlnm.Print_Titles" localSheetId="11">FAQ!$1:$4</definedName>
    <definedName name="_xlnm.Print_Titles" localSheetId="10">'Liste de tâches'!$5:$5</definedName>
    <definedName name="_xlnm.Print_Titles" localSheetId="16">Notizen!$1:$4</definedName>
    <definedName name="_xlnm.Print_Titles" localSheetId="12">Projektbudget!$1:$2</definedName>
    <definedName name="_xlnm.Print_Titles" localSheetId="15">Projektcontrolling!$4:$4</definedName>
    <definedName name="_xlnm.Print_Titles" localSheetId="1">Projektmgmt!$17:$17</definedName>
    <definedName name="_xlnm.Print_Titles" localSheetId="18">Risikomgmt!$1:$1</definedName>
    <definedName name="_xlnm.Print_Titles" localSheetId="9">Sitzungen!$1:$4</definedName>
    <definedName name="_xlnm.Print_Titles" localSheetId="8">Stakeholder!$1:$1</definedName>
    <definedName name="_xlnm.Print_Titles" localSheetId="17">'Swot-Analyse'!$1:$1</definedName>
    <definedName name="Ersatzprodukte">#REF!</definedName>
    <definedName name="graph_2_stakeholder">Stakeholder!$A$77</definedName>
    <definedName name="Graph_Kunden">#REF!</definedName>
    <definedName name="Graph_Risk">Risikomgmt!$A$54</definedName>
    <definedName name="graph_stakeholder">Stakeholder!$A$51</definedName>
    <definedName name="Kunden">#REF!</definedName>
    <definedName name="Lieferanten">#REF!</definedName>
    <definedName name="Mitbewerber">#REF!</definedName>
    <definedName name="Modèle1">#REF!</definedName>
    <definedName name="paretoXaxis">OFFSET([2]Pareto!$E$7,0,0,COUNT([2]Pareto!$F:$F))</definedName>
    <definedName name="Percentage">OFFSET([2]Pareto!$H$7,0,0,COUNT([2]Pareto!$F:$F))</definedName>
    <definedName name="Rivalitaet">#REF!</definedName>
    <definedName name="Sprachen">' '!$C$3:$F$3</definedName>
    <definedName name="Strategie_1">Projektcontrolling!$C$4</definedName>
    <definedName name="Strategie_2">Projektcontrolling!$C$12</definedName>
    <definedName name="Strategie_3">Projektcontrolling!$C$19</definedName>
    <definedName name="Strategie_4">Projektcontrolling!$C$26</definedName>
    <definedName name="Strategie_5">Projektcontrolling!$C$33</definedName>
    <definedName name="Strategie_6">Projektcontrolling!$C$40</definedName>
    <definedName name="Titre1">Liste_des_tâches[[#Headers],[No]]</definedName>
    <definedName name="top_2">#REF!</definedName>
    <definedName name="top_swot" localSheetId="17">'Swot-Analyse'!$A$2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04" l="1"/>
  <c r="A6" i="82"/>
  <c r="B11" i="104" s="1"/>
  <c r="F6" i="94"/>
  <c r="G6" i="94" s="1"/>
  <c r="X49" i="58"/>
  <c r="X50" i="58"/>
  <c r="X51" i="58"/>
  <c r="X52" i="58"/>
  <c r="X48" i="58"/>
  <c r="X43" i="58"/>
  <c r="X44" i="58"/>
  <c r="X45" i="58"/>
  <c r="X46" i="58"/>
  <c r="X42" i="58"/>
  <c r="D15" i="49"/>
  <c r="F15" i="49" s="1"/>
  <c r="A9" i="58"/>
  <c r="A581" i="82"/>
  <c r="F16" i="49"/>
  <c r="F17" i="49"/>
  <c r="F18" i="49"/>
  <c r="F19" i="49"/>
  <c r="F20" i="49"/>
  <c r="F21" i="49"/>
  <c r="F22" i="49"/>
  <c r="F23" i="49"/>
  <c r="F24" i="49"/>
  <c r="F25" i="49"/>
  <c r="F26" i="49"/>
  <c r="F27" i="49"/>
  <c r="F28" i="49"/>
  <c r="F29" i="49"/>
  <c r="F30" i="49"/>
  <c r="F31" i="49"/>
  <c r="F32" i="49"/>
  <c r="F33" i="49"/>
  <c r="F34" i="49"/>
  <c r="F35" i="49"/>
  <c r="F36" i="49"/>
  <c r="F37" i="49"/>
  <c r="F38" i="49"/>
  <c r="F39" i="49"/>
  <c r="F40" i="49"/>
  <c r="F41" i="49"/>
  <c r="F42" i="49"/>
  <c r="F43" i="49"/>
  <c r="F44" i="49"/>
  <c r="F45" i="49"/>
  <c r="F46" i="49"/>
  <c r="D11" i="58"/>
  <c r="D12" i="58"/>
  <c r="D13" i="58"/>
  <c r="D14" i="58"/>
  <c r="D15" i="58"/>
  <c r="F48" i="49"/>
  <c r="F47" i="49"/>
  <c r="K7" i="124"/>
  <c r="K8" i="124"/>
  <c r="J8" i="124"/>
  <c r="J7" i="124"/>
  <c r="K6" i="124"/>
  <c r="J6" i="124"/>
  <c r="M1" i="124"/>
  <c r="A680" i="82"/>
  <c r="A681" i="82"/>
  <c r="C2" i="124" s="1"/>
  <c r="A682" i="82"/>
  <c r="C4" i="124" s="1"/>
  <c r="A683" i="82"/>
  <c r="G4" i="124" s="1"/>
  <c r="A684" i="82"/>
  <c r="H4" i="124" s="1"/>
  <c r="A685" i="82"/>
  <c r="I4" i="124" s="1"/>
  <c r="A686" i="82"/>
  <c r="J4" i="124" s="1"/>
  <c r="A687" i="82"/>
  <c r="K4" i="124" s="1"/>
  <c r="A688" i="82"/>
  <c r="L4" i="124" s="1"/>
  <c r="A689" i="82"/>
  <c r="M4" i="124" s="1"/>
  <c r="A690" i="82"/>
  <c r="N4" i="124" s="1"/>
  <c r="A691" i="82"/>
  <c r="A692" i="82"/>
  <c r="A693" i="82"/>
  <c r="A694" i="82"/>
  <c r="D4" i="124" s="1"/>
  <c r="A695" i="82"/>
  <c r="E4" i="124" s="1"/>
  <c r="A696" i="82"/>
  <c r="F4" i="124" s="1"/>
  <c r="A599" i="82" l="1"/>
  <c r="C632" i="82"/>
  <c r="D632" i="82"/>
  <c r="E632" i="82"/>
  <c r="F632" i="82"/>
  <c r="C633" i="82"/>
  <c r="D633" i="82"/>
  <c r="E633" i="82"/>
  <c r="F633" i="82"/>
  <c r="C634" i="82"/>
  <c r="D634" i="82"/>
  <c r="E634" i="82"/>
  <c r="F634" i="82"/>
  <c r="C635" i="82"/>
  <c r="D635" i="82"/>
  <c r="E635" i="82"/>
  <c r="F635" i="82"/>
  <c r="C636" i="82"/>
  <c r="D636" i="82"/>
  <c r="E636" i="82"/>
  <c r="F636" i="82"/>
  <c r="C637" i="82"/>
  <c r="D637" i="82"/>
  <c r="E637" i="82"/>
  <c r="F637" i="82"/>
  <c r="C638" i="82"/>
  <c r="D638" i="82"/>
  <c r="E638" i="82"/>
  <c r="F638" i="82"/>
  <c r="C639" i="82"/>
  <c r="D639" i="82"/>
  <c r="E639" i="82"/>
  <c r="F639" i="82"/>
  <c r="C640" i="82"/>
  <c r="D640" i="82"/>
  <c r="E640" i="82"/>
  <c r="F640" i="82"/>
  <c r="C641" i="82"/>
  <c r="D641" i="82"/>
  <c r="E641" i="82"/>
  <c r="F641" i="82"/>
  <c r="C642" i="82"/>
  <c r="D642" i="82"/>
  <c r="E642" i="82"/>
  <c r="F642" i="82"/>
  <c r="D631" i="82"/>
  <c r="E631" i="82"/>
  <c r="F631" i="82"/>
  <c r="C631" i="82"/>
  <c r="C617" i="82"/>
  <c r="D617" i="82"/>
  <c r="E617" i="82"/>
  <c r="F617" i="82"/>
  <c r="C618" i="82"/>
  <c r="D618" i="82"/>
  <c r="E618" i="82"/>
  <c r="F618" i="82"/>
  <c r="C619" i="82"/>
  <c r="D619" i="82"/>
  <c r="E619" i="82"/>
  <c r="F619" i="82"/>
  <c r="C620" i="82"/>
  <c r="D620" i="82"/>
  <c r="E620" i="82"/>
  <c r="F620" i="82"/>
  <c r="C621" i="82"/>
  <c r="D621" i="82"/>
  <c r="E621" i="82"/>
  <c r="F621" i="82"/>
  <c r="C622" i="82"/>
  <c r="D622" i="82"/>
  <c r="E622" i="82"/>
  <c r="F622" i="82"/>
  <c r="C623" i="82"/>
  <c r="D623" i="82"/>
  <c r="E623" i="82"/>
  <c r="F623" i="82"/>
  <c r="C624" i="82"/>
  <c r="D624" i="82"/>
  <c r="E624" i="82"/>
  <c r="F624" i="82"/>
  <c r="C625" i="82"/>
  <c r="D625" i="82"/>
  <c r="E625" i="82"/>
  <c r="F625" i="82"/>
  <c r="C626" i="82"/>
  <c r="D626" i="82"/>
  <c r="E626" i="82"/>
  <c r="F626" i="82"/>
  <c r="C627" i="82"/>
  <c r="D627" i="82"/>
  <c r="E627" i="82"/>
  <c r="F627" i="82"/>
  <c r="C628" i="82"/>
  <c r="D628" i="82"/>
  <c r="E628" i="82"/>
  <c r="F628" i="82"/>
  <c r="C629" i="82"/>
  <c r="D629" i="82"/>
  <c r="E629" i="82"/>
  <c r="F629" i="82"/>
  <c r="D616" i="82"/>
  <c r="E616" i="82"/>
  <c r="F616" i="82"/>
  <c r="C616" i="82"/>
  <c r="C609" i="82"/>
  <c r="D609" i="82"/>
  <c r="E609" i="82"/>
  <c r="F609" i="82"/>
  <c r="C610" i="82"/>
  <c r="D610" i="82"/>
  <c r="E610" i="82"/>
  <c r="F610" i="82"/>
  <c r="C611" i="82"/>
  <c r="D611" i="82"/>
  <c r="E611" i="82"/>
  <c r="F611" i="82"/>
  <c r="C612" i="82"/>
  <c r="D612" i="82"/>
  <c r="E612" i="82"/>
  <c r="F612" i="82"/>
  <c r="C613" i="82"/>
  <c r="D613" i="82"/>
  <c r="E613" i="82"/>
  <c r="F613" i="82"/>
  <c r="C614" i="82"/>
  <c r="D614" i="82"/>
  <c r="E614" i="82"/>
  <c r="F614" i="82"/>
  <c r="D607" i="82"/>
  <c r="E607" i="82"/>
  <c r="F607" i="82"/>
  <c r="C607" i="82"/>
  <c r="D605" i="82"/>
  <c r="E605" i="82"/>
  <c r="F605" i="82"/>
  <c r="C605" i="82"/>
  <c r="D603" i="82"/>
  <c r="E603" i="82"/>
  <c r="F603" i="82"/>
  <c r="C603" i="82"/>
  <c r="D608" i="82"/>
  <c r="E608" i="82"/>
  <c r="F608" i="82"/>
  <c r="C608" i="82"/>
  <c r="C600" i="82"/>
  <c r="D600" i="82"/>
  <c r="A600" i="82" s="1"/>
  <c r="E600" i="82"/>
  <c r="F600" i="82"/>
  <c r="D606" i="82"/>
  <c r="E606" i="82"/>
  <c r="F606" i="82"/>
  <c r="C606" i="82"/>
  <c r="D604" i="82" l="1"/>
  <c r="E604" i="82"/>
  <c r="F604" i="82"/>
  <c r="C604" i="82"/>
  <c r="C601" i="82"/>
  <c r="D601" i="82"/>
  <c r="E601" i="82"/>
  <c r="F601" i="82"/>
  <c r="J17" i="49" l="1"/>
  <c r="H15" i="49" l="1"/>
  <c r="H16" i="49"/>
  <c r="H17" i="49"/>
  <c r="J18" i="49"/>
  <c r="H18" i="49" s="1"/>
  <c r="J19" i="49"/>
  <c r="J20" i="49"/>
  <c r="J21" i="49" l="1"/>
  <c r="H19" i="49"/>
  <c r="H20" i="49"/>
  <c r="F18" i="44"/>
  <c r="H21" i="49" l="1"/>
  <c r="A141" i="82"/>
  <c r="H12" i="49" s="1"/>
  <c r="A457" i="82" l="1"/>
  <c r="AE15" i="58"/>
  <c r="D16" i="58"/>
  <c r="AE16" i="58" s="1"/>
  <c r="D17" i="58"/>
  <c r="AE17" i="58" s="1"/>
  <c r="D18" i="58"/>
  <c r="AE18" i="58" s="1"/>
  <c r="D19" i="58"/>
  <c r="AE19" i="58" s="1"/>
  <c r="D20" i="58"/>
  <c r="AE20" i="58" s="1"/>
  <c r="D21" i="58"/>
  <c r="AE21" i="58" s="1"/>
  <c r="D22" i="58"/>
  <c r="AE22" i="58" s="1"/>
  <c r="D23" i="58"/>
  <c r="AE23" i="58" s="1"/>
  <c r="D24" i="58"/>
  <c r="AE24" i="58" s="1"/>
  <c r="D25" i="58"/>
  <c r="AE25" i="58" s="1"/>
  <c r="D26" i="58"/>
  <c r="AE26" i="58" s="1"/>
  <c r="D27" i="58"/>
  <c r="AE27" i="58" s="1"/>
  <c r="D28" i="58"/>
  <c r="AE28" i="58" s="1"/>
  <c r="D29" i="58"/>
  <c r="AE29" i="58" s="1"/>
  <c r="D30" i="58"/>
  <c r="AE30" i="58" s="1"/>
  <c r="D31" i="58"/>
  <c r="AE31" i="58" s="1"/>
  <c r="Y1" i="84"/>
  <c r="A567" i="82" l="1"/>
  <c r="A373" i="82"/>
  <c r="A574" i="82"/>
  <c r="F49" i="49"/>
  <c r="F50" i="49"/>
  <c r="F51" i="49"/>
  <c r="F52" i="49"/>
  <c r="F53" i="49"/>
  <c r="F54" i="49"/>
  <c r="F55" i="49"/>
  <c r="F56" i="49"/>
  <c r="F57" i="49"/>
  <c r="F58" i="49"/>
  <c r="F59" i="49"/>
  <c r="F60" i="49"/>
  <c r="F61" i="49"/>
  <c r="F62" i="49"/>
  <c r="F63" i="49"/>
  <c r="F64" i="49"/>
  <c r="F65" i="49"/>
  <c r="F66" i="49"/>
  <c r="F67" i="49"/>
  <c r="F68" i="49"/>
  <c r="F69" i="49"/>
  <c r="F70" i="49"/>
  <c r="F71" i="49"/>
  <c r="F72" i="49"/>
  <c r="F73" i="49"/>
  <c r="F74" i="49"/>
  <c r="F75" i="49"/>
  <c r="F76" i="49"/>
  <c r="F77" i="49"/>
  <c r="F78" i="49"/>
  <c r="F79" i="49"/>
  <c r="F80" i="49"/>
  <c r="F81" i="49"/>
  <c r="F82" i="49"/>
  <c r="F83" i="49"/>
  <c r="F84" i="49"/>
  <c r="F85" i="49"/>
  <c r="F86" i="49"/>
  <c r="F87" i="49"/>
  <c r="F88" i="49"/>
  <c r="F89" i="49"/>
  <c r="F90" i="49"/>
  <c r="F91" i="49"/>
  <c r="F92" i="49"/>
  <c r="F93" i="49"/>
  <c r="F94" i="49"/>
  <c r="F95" i="49"/>
  <c r="F96" i="49"/>
  <c r="F97" i="49"/>
  <c r="F98" i="49"/>
  <c r="F99" i="49"/>
  <c r="F100" i="49"/>
  <c r="F101" i="49"/>
  <c r="F102" i="49"/>
  <c r="F103" i="49"/>
  <c r="F104" i="49"/>
  <c r="F105" i="49"/>
  <c r="F106" i="49"/>
  <c r="F107" i="49"/>
  <c r="F108" i="49"/>
  <c r="F109" i="49"/>
  <c r="F110" i="49"/>
  <c r="F111" i="49"/>
  <c r="F112" i="49"/>
  <c r="F113" i="49"/>
  <c r="F114" i="49"/>
  <c r="F115" i="49"/>
  <c r="F116" i="49"/>
  <c r="F117" i="49"/>
  <c r="F118" i="49"/>
  <c r="F119" i="49"/>
  <c r="F120" i="49"/>
  <c r="F121" i="49"/>
  <c r="F122" i="49"/>
  <c r="F123" i="49"/>
  <c r="F124" i="49"/>
  <c r="F125" i="49"/>
  <c r="F126" i="49"/>
  <c r="F127" i="49"/>
  <c r="F128" i="49"/>
  <c r="F129" i="49"/>
  <c r="F130" i="49"/>
  <c r="F131" i="49"/>
  <c r="F132" i="49"/>
  <c r="F133" i="49"/>
  <c r="F134" i="49"/>
  <c r="F135" i="49"/>
  <c r="F136" i="49"/>
  <c r="F137" i="49"/>
  <c r="F138" i="49"/>
  <c r="F139" i="49"/>
  <c r="F140" i="49"/>
  <c r="F141" i="49"/>
  <c r="F142" i="49"/>
  <c r="F143" i="49"/>
  <c r="F144" i="49"/>
  <c r="F145" i="49"/>
  <c r="F146" i="49"/>
  <c r="F147" i="49"/>
  <c r="F148" i="49"/>
  <c r="F149" i="49"/>
  <c r="F150" i="49"/>
  <c r="F151" i="49"/>
  <c r="F152" i="49"/>
  <c r="F153" i="49"/>
  <c r="F154" i="49"/>
  <c r="F155" i="49"/>
  <c r="F156" i="49"/>
  <c r="F157" i="49"/>
  <c r="F158" i="49"/>
  <c r="F159" i="49"/>
  <c r="F160" i="49"/>
  <c r="F161" i="49"/>
  <c r="F162" i="49"/>
  <c r="F163" i="49"/>
  <c r="F164" i="49"/>
  <c r="F165" i="49"/>
  <c r="F166" i="49"/>
  <c r="F167" i="49"/>
  <c r="F168" i="49"/>
  <c r="F169" i="49"/>
  <c r="F170" i="49"/>
  <c r="F171" i="49"/>
  <c r="F172" i="49"/>
  <c r="F173" i="49"/>
  <c r="F174" i="49"/>
  <c r="F175" i="49"/>
  <c r="F176" i="49"/>
  <c r="F177" i="49"/>
  <c r="F178" i="49"/>
  <c r="F179" i="49"/>
  <c r="F180" i="49"/>
  <c r="F181" i="49"/>
  <c r="F182" i="49"/>
  <c r="F183" i="49"/>
  <c r="F184" i="49"/>
  <c r="F185" i="49"/>
  <c r="F186" i="49"/>
  <c r="F187" i="49"/>
  <c r="F188" i="49"/>
  <c r="F189" i="49"/>
  <c r="F190" i="49"/>
  <c r="F191" i="49"/>
  <c r="F192" i="49"/>
  <c r="F193" i="49"/>
  <c r="F194" i="49"/>
  <c r="F195" i="49"/>
  <c r="F196" i="49"/>
  <c r="F197" i="49"/>
  <c r="F198" i="49"/>
  <c r="F199" i="49"/>
  <c r="F200" i="49"/>
  <c r="F201" i="49"/>
  <c r="F202" i="49"/>
  <c r="F203" i="49"/>
  <c r="F204" i="49"/>
  <c r="F205" i="49"/>
  <c r="F206" i="49"/>
  <c r="F207" i="49"/>
  <c r="F208" i="49"/>
  <c r="F209" i="49"/>
  <c r="F210" i="49"/>
  <c r="F211" i="49"/>
  <c r="F212" i="49"/>
  <c r="F213" i="49"/>
  <c r="F214" i="49"/>
  <c r="F215" i="49"/>
  <c r="F216" i="49"/>
  <c r="F217" i="49"/>
  <c r="F218" i="49"/>
  <c r="F219" i="49"/>
  <c r="F220" i="49"/>
  <c r="F221" i="49"/>
  <c r="F222" i="49"/>
  <c r="F223" i="49"/>
  <c r="F224" i="49"/>
  <c r="F225" i="49"/>
  <c r="F226" i="49"/>
  <c r="F227" i="49"/>
  <c r="F228" i="49"/>
  <c r="F4" i="100" l="1"/>
  <c r="A612" i="82" l="1"/>
  <c r="A54" i="82" l="1"/>
  <c r="A53" i="82"/>
  <c r="A610" i="82"/>
  <c r="A674" i="82"/>
  <c r="A662" i="82"/>
  <c r="A665" i="82"/>
  <c r="A677" i="82"/>
  <c r="A667" i="82"/>
  <c r="A666" i="82"/>
  <c r="A669" i="82"/>
  <c r="A668" i="82"/>
  <c r="A670" i="82"/>
  <c r="A673" i="82"/>
  <c r="A601" i="82"/>
  <c r="A672" i="82"/>
  <c r="A664" i="82"/>
  <c r="A663" i="82"/>
  <c r="A671" i="82"/>
  <c r="A675" i="82"/>
  <c r="A676" i="82"/>
  <c r="A679" i="82"/>
  <c r="A678" i="82"/>
  <c r="A52" i="82"/>
  <c r="A579" i="82"/>
  <c r="A578" i="82"/>
  <c r="A577" i="82"/>
  <c r="A576" i="82"/>
  <c r="A589" i="82"/>
  <c r="A597" i="82"/>
  <c r="A596" i="82"/>
  <c r="A588" i="82"/>
  <c r="A595" i="82"/>
  <c r="A587" i="82"/>
  <c r="A594" i="82"/>
  <c r="A586" i="82"/>
  <c r="A593" i="82"/>
  <c r="A585" i="82"/>
  <c r="A592" i="82"/>
  <c r="A584" i="82"/>
  <c r="A591" i="82"/>
  <c r="A583" i="82"/>
  <c r="A598" i="82"/>
  <c r="A590" i="82"/>
  <c r="A582" i="82"/>
  <c r="A51" i="82" l="1"/>
  <c r="F13" i="104" s="1"/>
  <c r="A500" i="82" l="1"/>
  <c r="E4" i="121" s="1"/>
  <c r="A499" i="82"/>
  <c r="D4" i="121" s="1"/>
  <c r="A4" i="121"/>
  <c r="A580" i="82"/>
  <c r="W5" i="82"/>
  <c r="P5" i="47" l="1"/>
  <c r="P4" i="47"/>
  <c r="A624" i="82" l="1"/>
  <c r="A625" i="82"/>
  <c r="A640" i="82"/>
  <c r="A638" i="82"/>
  <c r="A636" i="82"/>
  <c r="A634" i="82"/>
  <c r="A632" i="82"/>
  <c r="A629" i="82"/>
  <c r="A627" i="82"/>
  <c r="A623" i="82"/>
  <c r="A621" i="82"/>
  <c r="A619" i="82"/>
  <c r="A617" i="82"/>
  <c r="A575" i="82"/>
  <c r="A607" i="82"/>
  <c r="A608" i="82"/>
  <c r="A570" i="82" l="1"/>
  <c r="A571" i="82"/>
  <c r="A572" i="82"/>
  <c r="A573" i="82"/>
  <c r="A614" i="82"/>
  <c r="A613" i="82"/>
  <c r="A615" i="82"/>
  <c r="A616" i="82"/>
  <c r="A618" i="82"/>
  <c r="A620" i="82"/>
  <c r="A622" i="82"/>
  <c r="A569" i="82"/>
  <c r="A642" i="82" l="1"/>
  <c r="A643" i="82"/>
  <c r="A644" i="82"/>
  <c r="A645" i="82"/>
  <c r="A646" i="82"/>
  <c r="A647" i="82"/>
  <c r="A648" i="82"/>
  <c r="A649" i="82"/>
  <c r="A650" i="82"/>
  <c r="A651" i="82"/>
  <c r="A652" i="82"/>
  <c r="A653" i="82"/>
  <c r="A654" i="82"/>
  <c r="A655" i="82"/>
  <c r="A656" i="82"/>
  <c r="A657" i="82"/>
  <c r="A658" i="82"/>
  <c r="A659" i="82"/>
  <c r="A660" i="82"/>
  <c r="A568" i="82"/>
  <c r="A560" i="82" l="1"/>
  <c r="A564" i="82"/>
  <c r="A565" i="82"/>
  <c r="A566" i="82"/>
  <c r="A561" i="82"/>
  <c r="A562" i="82"/>
  <c r="A563" i="82"/>
  <c r="J22" i="49" l="1"/>
  <c r="H22" i="49" s="1"/>
  <c r="J23" i="49"/>
  <c r="H23" i="49" s="1"/>
  <c r="J24" i="49"/>
  <c r="H24" i="49" s="1"/>
  <c r="J25" i="49"/>
  <c r="H25" i="49" s="1"/>
  <c r="J26" i="49"/>
  <c r="H26" i="49" s="1"/>
  <c r="J27" i="49"/>
  <c r="H27" i="49" s="1"/>
  <c r="J28" i="49"/>
  <c r="H28" i="49" s="1"/>
  <c r="J29" i="49"/>
  <c r="H29" i="49" s="1"/>
  <c r="J30" i="49"/>
  <c r="H30" i="49" s="1"/>
  <c r="J31" i="49"/>
  <c r="H31" i="49" s="1"/>
  <c r="J32" i="49"/>
  <c r="H32" i="49" s="1"/>
  <c r="J33" i="49"/>
  <c r="H33" i="49" s="1"/>
  <c r="J34" i="49"/>
  <c r="H34" i="49" s="1"/>
  <c r="J35" i="49"/>
  <c r="H35" i="49" s="1"/>
  <c r="J36" i="49"/>
  <c r="H36" i="49" s="1"/>
  <c r="J37" i="49"/>
  <c r="H37" i="49" s="1"/>
  <c r="J38" i="49"/>
  <c r="H38" i="49" s="1"/>
  <c r="J39" i="49"/>
  <c r="H39" i="49" s="1"/>
  <c r="J40" i="49"/>
  <c r="H40" i="49" s="1"/>
  <c r="J41" i="49"/>
  <c r="H41" i="49" s="1"/>
  <c r="J42" i="49"/>
  <c r="H42" i="49" s="1"/>
  <c r="J43" i="49"/>
  <c r="H43" i="49" s="1"/>
  <c r="J44" i="49"/>
  <c r="H44" i="49" s="1"/>
  <c r="J45" i="49"/>
  <c r="H45" i="49" s="1"/>
  <c r="J46" i="49"/>
  <c r="H46" i="49" s="1"/>
  <c r="J47" i="49"/>
  <c r="H47" i="49" s="1"/>
  <c r="J48" i="49"/>
  <c r="H48" i="49" s="1"/>
  <c r="J49" i="49"/>
  <c r="H49" i="49" s="1"/>
  <c r="J50" i="49"/>
  <c r="H50" i="49" s="1"/>
  <c r="J51" i="49"/>
  <c r="H51" i="49" s="1"/>
  <c r="J52" i="49"/>
  <c r="H52" i="49" s="1"/>
  <c r="J53" i="49"/>
  <c r="H53" i="49" s="1"/>
  <c r="J54" i="49"/>
  <c r="H54" i="49" s="1"/>
  <c r="J55" i="49"/>
  <c r="H55" i="49" s="1"/>
  <c r="J56" i="49"/>
  <c r="H56" i="49" s="1"/>
  <c r="J57" i="49"/>
  <c r="H57" i="49" s="1"/>
  <c r="J58" i="49"/>
  <c r="H58" i="49" s="1"/>
  <c r="J59" i="49"/>
  <c r="H59" i="49" s="1"/>
  <c r="J60" i="49"/>
  <c r="H60" i="49" s="1"/>
  <c r="J61" i="49"/>
  <c r="H61" i="49" s="1"/>
  <c r="J62" i="49"/>
  <c r="H62" i="49" s="1"/>
  <c r="J63" i="49"/>
  <c r="H63" i="49" s="1"/>
  <c r="J64" i="49"/>
  <c r="H64" i="49" s="1"/>
  <c r="J65" i="49"/>
  <c r="H65" i="49" s="1"/>
  <c r="J66" i="49"/>
  <c r="H66" i="49" s="1"/>
  <c r="J67" i="49"/>
  <c r="H67" i="49" s="1"/>
  <c r="J68" i="49"/>
  <c r="H68" i="49" s="1"/>
  <c r="J69" i="49"/>
  <c r="H69" i="49" s="1"/>
  <c r="J70" i="49"/>
  <c r="H70" i="49" s="1"/>
  <c r="J71" i="49"/>
  <c r="H71" i="49" s="1"/>
  <c r="J72" i="49"/>
  <c r="H72" i="49" s="1"/>
  <c r="J73" i="49"/>
  <c r="H73" i="49" s="1"/>
  <c r="J74" i="49"/>
  <c r="H74" i="49" s="1"/>
  <c r="J75" i="49"/>
  <c r="H75" i="49" s="1"/>
  <c r="J76" i="49"/>
  <c r="H76" i="49" s="1"/>
  <c r="J77" i="49"/>
  <c r="H77" i="49" s="1"/>
  <c r="J78" i="49"/>
  <c r="H78" i="49" s="1"/>
  <c r="J79" i="49"/>
  <c r="H79" i="49" s="1"/>
  <c r="J80" i="49"/>
  <c r="H80" i="49" s="1"/>
  <c r="J81" i="49"/>
  <c r="H81" i="49" s="1"/>
  <c r="J82" i="49"/>
  <c r="H82" i="49" s="1"/>
  <c r="J83" i="49"/>
  <c r="H83" i="49" s="1"/>
  <c r="J84" i="49"/>
  <c r="H84" i="49" s="1"/>
  <c r="J85" i="49"/>
  <c r="H85" i="49" s="1"/>
  <c r="J86" i="49"/>
  <c r="H86" i="49" s="1"/>
  <c r="J87" i="49"/>
  <c r="H87" i="49" s="1"/>
  <c r="J88" i="49"/>
  <c r="H88" i="49" s="1"/>
  <c r="J89" i="49"/>
  <c r="H89" i="49" s="1"/>
  <c r="J90" i="49"/>
  <c r="H90" i="49" s="1"/>
  <c r="J91" i="49"/>
  <c r="H91" i="49" s="1"/>
  <c r="J92" i="49"/>
  <c r="H92" i="49" s="1"/>
  <c r="J93" i="49"/>
  <c r="H93" i="49" s="1"/>
  <c r="J94" i="49"/>
  <c r="H94" i="49" s="1"/>
  <c r="J95" i="49"/>
  <c r="H95" i="49" s="1"/>
  <c r="J96" i="49"/>
  <c r="H96" i="49" s="1"/>
  <c r="J97" i="49"/>
  <c r="H97" i="49" s="1"/>
  <c r="J98" i="49"/>
  <c r="H98" i="49" s="1"/>
  <c r="J99" i="49"/>
  <c r="H99" i="49" s="1"/>
  <c r="J100" i="49"/>
  <c r="H100" i="49" s="1"/>
  <c r="J101" i="49"/>
  <c r="H101" i="49" s="1"/>
  <c r="J102" i="49"/>
  <c r="H102" i="49" s="1"/>
  <c r="J103" i="49"/>
  <c r="H103" i="49" s="1"/>
  <c r="J104" i="49"/>
  <c r="H104" i="49" s="1"/>
  <c r="J105" i="49"/>
  <c r="H105" i="49" s="1"/>
  <c r="J106" i="49"/>
  <c r="H106" i="49" s="1"/>
  <c r="J107" i="49"/>
  <c r="H107" i="49" s="1"/>
  <c r="J108" i="49"/>
  <c r="H108" i="49" s="1"/>
  <c r="J109" i="49"/>
  <c r="H109" i="49" s="1"/>
  <c r="J110" i="49"/>
  <c r="H110" i="49" s="1"/>
  <c r="J111" i="49"/>
  <c r="H111" i="49" s="1"/>
  <c r="J112" i="49"/>
  <c r="H112" i="49" s="1"/>
  <c r="J113" i="49"/>
  <c r="H113" i="49" s="1"/>
  <c r="J114" i="49"/>
  <c r="H114" i="49" s="1"/>
  <c r="J115" i="49"/>
  <c r="H115" i="49" s="1"/>
  <c r="J116" i="49"/>
  <c r="H116" i="49" s="1"/>
  <c r="J117" i="49"/>
  <c r="H117" i="49" s="1"/>
  <c r="J118" i="49"/>
  <c r="H118" i="49" s="1"/>
  <c r="J119" i="49"/>
  <c r="H119" i="49" s="1"/>
  <c r="J120" i="49"/>
  <c r="H120" i="49" s="1"/>
  <c r="J121" i="49"/>
  <c r="H121" i="49" s="1"/>
  <c r="J122" i="49"/>
  <c r="H122" i="49" s="1"/>
  <c r="J123" i="49"/>
  <c r="H123" i="49" s="1"/>
  <c r="J124" i="49"/>
  <c r="H124" i="49" s="1"/>
  <c r="J125" i="49"/>
  <c r="H125" i="49" s="1"/>
  <c r="J126" i="49"/>
  <c r="H126" i="49" s="1"/>
  <c r="J127" i="49"/>
  <c r="H127" i="49" s="1"/>
  <c r="J128" i="49"/>
  <c r="H128" i="49" s="1"/>
  <c r="J129" i="49"/>
  <c r="H129" i="49" s="1"/>
  <c r="J130" i="49"/>
  <c r="H130" i="49" s="1"/>
  <c r="J131" i="49"/>
  <c r="H131" i="49" s="1"/>
  <c r="J132" i="49"/>
  <c r="H132" i="49" s="1"/>
  <c r="J133" i="49"/>
  <c r="H133" i="49" s="1"/>
  <c r="J134" i="49"/>
  <c r="H134" i="49" s="1"/>
  <c r="J135" i="49"/>
  <c r="H135" i="49" s="1"/>
  <c r="J136" i="49"/>
  <c r="H136" i="49" s="1"/>
  <c r="J137" i="49"/>
  <c r="H137" i="49" s="1"/>
  <c r="J138" i="49"/>
  <c r="H138" i="49" s="1"/>
  <c r="J139" i="49"/>
  <c r="H139" i="49" s="1"/>
  <c r="J140" i="49"/>
  <c r="H140" i="49" s="1"/>
  <c r="J141" i="49"/>
  <c r="H141" i="49" s="1"/>
  <c r="J142" i="49"/>
  <c r="H142" i="49" s="1"/>
  <c r="J143" i="49"/>
  <c r="H143" i="49" s="1"/>
  <c r="J144" i="49"/>
  <c r="H144" i="49" s="1"/>
  <c r="J145" i="49"/>
  <c r="H145" i="49" s="1"/>
  <c r="J146" i="49"/>
  <c r="H146" i="49" s="1"/>
  <c r="J147" i="49"/>
  <c r="H147" i="49" s="1"/>
  <c r="J148" i="49"/>
  <c r="H148" i="49" s="1"/>
  <c r="J149" i="49"/>
  <c r="H149" i="49" s="1"/>
  <c r="J150" i="49"/>
  <c r="H150" i="49" s="1"/>
  <c r="J151" i="49"/>
  <c r="H151" i="49" s="1"/>
  <c r="J152" i="49"/>
  <c r="H152" i="49" s="1"/>
  <c r="J153" i="49"/>
  <c r="H153" i="49" s="1"/>
  <c r="J154" i="49"/>
  <c r="H154" i="49" s="1"/>
  <c r="J155" i="49"/>
  <c r="H155" i="49" s="1"/>
  <c r="J156" i="49"/>
  <c r="H156" i="49" s="1"/>
  <c r="J157" i="49"/>
  <c r="H157" i="49" s="1"/>
  <c r="J158" i="49"/>
  <c r="H158" i="49" s="1"/>
  <c r="J159" i="49"/>
  <c r="H159" i="49" s="1"/>
  <c r="J160" i="49"/>
  <c r="H160" i="49" s="1"/>
  <c r="J161" i="49"/>
  <c r="H161" i="49" s="1"/>
  <c r="J162" i="49"/>
  <c r="H162" i="49" s="1"/>
  <c r="J163" i="49"/>
  <c r="H163" i="49" s="1"/>
  <c r="J164" i="49"/>
  <c r="H164" i="49" s="1"/>
  <c r="J165" i="49"/>
  <c r="H165" i="49" s="1"/>
  <c r="J166" i="49"/>
  <c r="H166" i="49" s="1"/>
  <c r="J167" i="49"/>
  <c r="H167" i="49" s="1"/>
  <c r="J168" i="49"/>
  <c r="H168" i="49" s="1"/>
  <c r="J169" i="49"/>
  <c r="H169" i="49" s="1"/>
  <c r="J170" i="49"/>
  <c r="H170" i="49" s="1"/>
  <c r="J171" i="49"/>
  <c r="H171" i="49" s="1"/>
  <c r="J172" i="49"/>
  <c r="H172" i="49" s="1"/>
  <c r="J173" i="49"/>
  <c r="H173" i="49" s="1"/>
  <c r="J174" i="49"/>
  <c r="H174" i="49" s="1"/>
  <c r="J175" i="49"/>
  <c r="H175" i="49" s="1"/>
  <c r="J176" i="49"/>
  <c r="H176" i="49" s="1"/>
  <c r="J177" i="49"/>
  <c r="H177" i="49" s="1"/>
  <c r="J178" i="49"/>
  <c r="H178" i="49" s="1"/>
  <c r="J179" i="49"/>
  <c r="H179" i="49" s="1"/>
  <c r="J180" i="49"/>
  <c r="H180" i="49" s="1"/>
  <c r="J181" i="49"/>
  <c r="H181" i="49" s="1"/>
  <c r="J182" i="49"/>
  <c r="H182" i="49" s="1"/>
  <c r="J183" i="49"/>
  <c r="H183" i="49" s="1"/>
  <c r="J184" i="49"/>
  <c r="H184" i="49" s="1"/>
  <c r="J185" i="49"/>
  <c r="H185" i="49" s="1"/>
  <c r="J186" i="49"/>
  <c r="H186" i="49" s="1"/>
  <c r="J187" i="49"/>
  <c r="H187" i="49" s="1"/>
  <c r="J188" i="49"/>
  <c r="H188" i="49" s="1"/>
  <c r="J189" i="49"/>
  <c r="H189" i="49" s="1"/>
  <c r="J190" i="49"/>
  <c r="H190" i="49" s="1"/>
  <c r="J191" i="49"/>
  <c r="H191" i="49" s="1"/>
  <c r="J192" i="49"/>
  <c r="H192" i="49" s="1"/>
  <c r="J193" i="49"/>
  <c r="H193" i="49" s="1"/>
  <c r="J194" i="49"/>
  <c r="H194" i="49" s="1"/>
  <c r="J195" i="49"/>
  <c r="H195" i="49" s="1"/>
  <c r="J196" i="49"/>
  <c r="H196" i="49" s="1"/>
  <c r="J197" i="49"/>
  <c r="H197" i="49" s="1"/>
  <c r="J198" i="49"/>
  <c r="H198" i="49" s="1"/>
  <c r="J199" i="49"/>
  <c r="H199" i="49" s="1"/>
  <c r="J200" i="49"/>
  <c r="H200" i="49" s="1"/>
  <c r="J201" i="49"/>
  <c r="H201" i="49" s="1"/>
  <c r="J202" i="49"/>
  <c r="H202" i="49" s="1"/>
  <c r="J203" i="49"/>
  <c r="H203" i="49" s="1"/>
  <c r="J204" i="49"/>
  <c r="H204" i="49" s="1"/>
  <c r="J205" i="49"/>
  <c r="H205" i="49" s="1"/>
  <c r="J206" i="49"/>
  <c r="H206" i="49" s="1"/>
  <c r="J207" i="49"/>
  <c r="H207" i="49" s="1"/>
  <c r="J208" i="49"/>
  <c r="H208" i="49" s="1"/>
  <c r="J209" i="49"/>
  <c r="H209" i="49" s="1"/>
  <c r="J210" i="49"/>
  <c r="H210" i="49" s="1"/>
  <c r="J211" i="49"/>
  <c r="H211" i="49" s="1"/>
  <c r="J212" i="49"/>
  <c r="H212" i="49" s="1"/>
  <c r="J213" i="49"/>
  <c r="H213" i="49" s="1"/>
  <c r="J214" i="49"/>
  <c r="H214" i="49" s="1"/>
  <c r="J215" i="49"/>
  <c r="H215" i="49" s="1"/>
  <c r="J216" i="49"/>
  <c r="H216" i="49" s="1"/>
  <c r="J217" i="49"/>
  <c r="H217" i="49" s="1"/>
  <c r="J218" i="49"/>
  <c r="H218" i="49" s="1"/>
  <c r="J219" i="49"/>
  <c r="H219" i="49" s="1"/>
  <c r="J220" i="49"/>
  <c r="H220" i="49" s="1"/>
  <c r="J221" i="49"/>
  <c r="H221" i="49" s="1"/>
  <c r="J222" i="49"/>
  <c r="H222" i="49" s="1"/>
  <c r="J223" i="49"/>
  <c r="H223" i="49" s="1"/>
  <c r="J224" i="49"/>
  <c r="H224" i="49" s="1"/>
  <c r="J225" i="49"/>
  <c r="H225" i="49" s="1"/>
  <c r="J227" i="49"/>
  <c r="H227" i="49" s="1"/>
  <c r="J228" i="49"/>
  <c r="H228" i="49" s="1"/>
  <c r="J226" i="49"/>
  <c r="H226" i="49" s="1"/>
  <c r="D195" i="82"/>
  <c r="A140" i="82"/>
  <c r="A139" i="82" l="1"/>
  <c r="A553" i="82" l="1"/>
  <c r="G4" i="45" l="1"/>
  <c r="S11" i="58" l="1"/>
  <c r="T11" i="58"/>
  <c r="T12" i="58"/>
  <c r="U11" i="58"/>
  <c r="T13" i="58"/>
  <c r="T14" i="58"/>
  <c r="T15" i="58"/>
  <c r="V11" i="58"/>
  <c r="W11" i="58"/>
  <c r="W12" i="58"/>
  <c r="W13" i="58"/>
  <c r="W14" i="58"/>
  <c r="S12" i="58"/>
  <c r="U12" i="58"/>
  <c r="V12" i="58"/>
  <c r="S13" i="58"/>
  <c r="U13" i="58"/>
  <c r="V13" i="58"/>
  <c r="S14" i="58"/>
  <c r="U14" i="58"/>
  <c r="V14" i="58"/>
  <c r="S15" i="58"/>
  <c r="U15" i="58"/>
  <c r="V15" i="58"/>
  <c r="W15" i="58"/>
  <c r="S16" i="58"/>
  <c r="T16" i="58"/>
  <c r="U16" i="58"/>
  <c r="V16" i="58"/>
  <c r="W16" i="58"/>
  <c r="S17" i="58"/>
  <c r="T17" i="58"/>
  <c r="U17" i="58"/>
  <c r="V17" i="58"/>
  <c r="W17" i="58"/>
  <c r="S18" i="58"/>
  <c r="T18" i="58"/>
  <c r="U18" i="58"/>
  <c r="V18" i="58"/>
  <c r="W18" i="58"/>
  <c r="S19" i="58"/>
  <c r="T19" i="58"/>
  <c r="U19" i="58"/>
  <c r="V19" i="58"/>
  <c r="W19" i="58"/>
  <c r="S20" i="58"/>
  <c r="T20" i="58"/>
  <c r="U20" i="58"/>
  <c r="V20" i="58"/>
  <c r="W20" i="58"/>
  <c r="S21" i="58"/>
  <c r="T21" i="58"/>
  <c r="U21" i="58"/>
  <c r="V21" i="58"/>
  <c r="W21" i="58"/>
  <c r="S22" i="58"/>
  <c r="T22" i="58"/>
  <c r="U22" i="58"/>
  <c r="V22" i="58"/>
  <c r="W22" i="58"/>
  <c r="S23" i="58"/>
  <c r="T23" i="58"/>
  <c r="U23" i="58"/>
  <c r="V23" i="58"/>
  <c r="W23" i="58"/>
  <c r="S24" i="58"/>
  <c r="T24" i="58"/>
  <c r="U24" i="58"/>
  <c r="V24" i="58"/>
  <c r="W24" i="58"/>
  <c r="S25" i="58"/>
  <c r="T25" i="58"/>
  <c r="U25" i="58"/>
  <c r="V25" i="58"/>
  <c r="W25" i="58"/>
  <c r="S26" i="58"/>
  <c r="T26" i="58"/>
  <c r="U26" i="58"/>
  <c r="V26" i="58"/>
  <c r="W26" i="58"/>
  <c r="S27" i="58"/>
  <c r="T27" i="58"/>
  <c r="U27" i="58"/>
  <c r="V27" i="58"/>
  <c r="W27" i="58"/>
  <c r="S28" i="58"/>
  <c r="T28" i="58"/>
  <c r="U28" i="58"/>
  <c r="V28" i="58"/>
  <c r="W28" i="58"/>
  <c r="S29" i="58"/>
  <c r="T29" i="58"/>
  <c r="U29" i="58"/>
  <c r="V29" i="58"/>
  <c r="W29" i="58"/>
  <c r="S30" i="58"/>
  <c r="T30" i="58"/>
  <c r="U30" i="58"/>
  <c r="V30" i="58"/>
  <c r="W30" i="58"/>
  <c r="S31" i="58"/>
  <c r="T31" i="58"/>
  <c r="U31" i="58"/>
  <c r="V31" i="58"/>
  <c r="W31" i="58"/>
  <c r="A138" i="82" l="1"/>
  <c r="E12" i="49" s="1"/>
  <c r="A407" i="82" l="1"/>
  <c r="A406" i="82"/>
  <c r="A405" i="82"/>
  <c r="A404" i="82"/>
  <c r="A403" i="82"/>
  <c r="A402" i="82"/>
  <c r="A401" i="82"/>
  <c r="A400" i="82"/>
  <c r="A399" i="82"/>
  <c r="A398" i="82"/>
  <c r="A397" i="82"/>
  <c r="A396" i="82"/>
  <c r="A395" i="82"/>
  <c r="A394" i="82"/>
  <c r="A393" i="82"/>
  <c r="A392" i="82"/>
  <c r="A391" i="82"/>
  <c r="A550" i="82" l="1"/>
  <c r="A549" i="82"/>
  <c r="A548" i="82"/>
  <c r="C6" i="100"/>
  <c r="E51" i="58"/>
  <c r="E49" i="58"/>
  <c r="E48" i="58"/>
  <c r="E46" i="58"/>
  <c r="E45" i="58"/>
  <c r="E44" i="58"/>
  <c r="E42" i="58"/>
  <c r="O40" i="58"/>
  <c r="P40" i="58"/>
  <c r="Q40" i="58"/>
  <c r="R40" i="58"/>
  <c r="N40" i="58"/>
  <c r="O39" i="58"/>
  <c r="P39" i="58"/>
  <c r="Q39" i="58"/>
  <c r="R39" i="58"/>
  <c r="N39" i="58"/>
  <c r="O38" i="58"/>
  <c r="P38" i="58"/>
  <c r="Q38" i="58"/>
  <c r="R38" i="58"/>
  <c r="N38" i="58"/>
  <c r="O37" i="58"/>
  <c r="P37" i="58"/>
  <c r="Q37" i="58"/>
  <c r="R37" i="58"/>
  <c r="N37" i="58"/>
  <c r="O36" i="58"/>
  <c r="P36" i="58"/>
  <c r="Q36" i="58"/>
  <c r="R36" i="58"/>
  <c r="N36" i="58"/>
  <c r="C44" i="58"/>
  <c r="C45" i="58"/>
  <c r="C46" i="58"/>
  <c r="D60" i="109"/>
  <c r="D49" i="109"/>
  <c r="D38" i="109"/>
  <c r="D27" i="109"/>
  <c r="D16" i="109"/>
  <c r="D5" i="109"/>
  <c r="H41" i="45"/>
  <c r="H42" i="45"/>
  <c r="H43" i="45"/>
  <c r="A496" i="82"/>
  <c r="B17" i="104" s="1"/>
  <c r="A497" i="82"/>
  <c r="B16" i="104" s="1"/>
  <c r="A498" i="82"/>
  <c r="B15" i="104" s="1"/>
  <c r="P3" i="47"/>
  <c r="N3" i="47"/>
  <c r="N4" i="47"/>
  <c r="N5" i="47"/>
  <c r="K17" i="104"/>
  <c r="D18" i="104"/>
  <c r="D19" i="104" s="1"/>
  <c r="H44" i="45"/>
  <c r="H45" i="45"/>
  <c r="H46" i="45"/>
  <c r="H47" i="45"/>
  <c r="A547" i="82"/>
  <c r="A546" i="82"/>
  <c r="A545" i="82"/>
  <c r="A544" i="82"/>
  <c r="A543" i="82"/>
  <c r="A542" i="82"/>
  <c r="A541" i="82"/>
  <c r="A540" i="82"/>
  <c r="A539" i="82"/>
  <c r="A538" i="82"/>
  <c r="G40" i="58"/>
  <c r="G39" i="58"/>
  <c r="G38" i="58"/>
  <c r="G37" i="58"/>
  <c r="G36" i="58"/>
  <c r="S36" i="58" s="1"/>
  <c r="E36" i="58" s="1"/>
  <c r="A811" i="82"/>
  <c r="A810" i="82"/>
  <c r="A809" i="82"/>
  <c r="A808" i="82"/>
  <c r="A807" i="82"/>
  <c r="A806" i="82"/>
  <c r="A805" i="82"/>
  <c r="A804" i="82"/>
  <c r="A803" i="82"/>
  <c r="A802" i="82"/>
  <c r="A801" i="82"/>
  <c r="A800" i="82"/>
  <c r="A799" i="82"/>
  <c r="A798" i="82"/>
  <c r="A797" i="82"/>
  <c r="A796" i="82"/>
  <c r="A795" i="82"/>
  <c r="A794" i="82"/>
  <c r="A793" i="82"/>
  <c r="A792" i="82"/>
  <c r="A791" i="82"/>
  <c r="A790" i="82"/>
  <c r="A789" i="82"/>
  <c r="A788" i="82"/>
  <c r="A787" i="82"/>
  <c r="A786" i="82"/>
  <c r="A785" i="82"/>
  <c r="A784" i="82"/>
  <c r="A783" i="82"/>
  <c r="A782" i="82"/>
  <c r="A781" i="82"/>
  <c r="A780" i="82"/>
  <c r="A779" i="82"/>
  <c r="A778" i="82"/>
  <c r="A777" i="82"/>
  <c r="A776" i="82"/>
  <c r="A775" i="82"/>
  <c r="A774" i="82"/>
  <c r="A773" i="82"/>
  <c r="A772" i="82"/>
  <c r="A771" i="82"/>
  <c r="A770" i="82"/>
  <c r="A769" i="82"/>
  <c r="A768" i="82"/>
  <c r="A767" i="82"/>
  <c r="A766" i="82"/>
  <c r="A765" i="82"/>
  <c r="A764" i="82"/>
  <c r="A763" i="82"/>
  <c r="A762" i="82"/>
  <c r="A717" i="82"/>
  <c r="A716" i="82"/>
  <c r="A715" i="82"/>
  <c r="A714" i="82"/>
  <c r="A713" i="82"/>
  <c r="A712" i="82"/>
  <c r="A711" i="82"/>
  <c r="A710" i="82"/>
  <c r="A709" i="82"/>
  <c r="A708" i="82"/>
  <c r="A707" i="82"/>
  <c r="A706" i="82"/>
  <c r="A705" i="82"/>
  <c r="A704" i="82"/>
  <c r="A703" i="82"/>
  <c r="A702" i="82"/>
  <c r="A701" i="82"/>
  <c r="A700" i="82"/>
  <c r="A699" i="82"/>
  <c r="A698" i="82"/>
  <c r="A697" i="82"/>
  <c r="A661" i="82"/>
  <c r="A606" i="82"/>
  <c r="A604" i="82"/>
  <c r="A641" i="82"/>
  <c r="A639" i="82"/>
  <c r="A637" i="82"/>
  <c r="A635" i="82"/>
  <c r="A633" i="82"/>
  <c r="A631" i="82"/>
  <c r="A630" i="82"/>
  <c r="A628" i="82"/>
  <c r="A626" i="82"/>
  <c r="A611" i="82"/>
  <c r="A609" i="82"/>
  <c r="A605" i="82"/>
  <c r="A603" i="82"/>
  <c r="A602" i="82"/>
  <c r="A559" i="82"/>
  <c r="A558" i="82"/>
  <c r="A557" i="82"/>
  <c r="A556" i="82"/>
  <c r="A555" i="82"/>
  <c r="A554" i="82"/>
  <c r="A552" i="82"/>
  <c r="H4" i="94" s="1"/>
  <c r="A551" i="82"/>
  <c r="A537" i="82"/>
  <c r="E44" i="109" s="1"/>
  <c r="A536" i="82"/>
  <c r="D11" i="109" s="1"/>
  <c r="A535" i="82"/>
  <c r="D29" i="109" s="1"/>
  <c r="A534" i="82"/>
  <c r="D9" i="109" s="1"/>
  <c r="A533" i="82"/>
  <c r="C1" i="109" s="1"/>
  <c r="A532" i="82"/>
  <c r="A531" i="82"/>
  <c r="A530" i="82"/>
  <c r="A529" i="82"/>
  <c r="A528" i="82"/>
  <c r="A527" i="82"/>
  <c r="A526" i="82"/>
  <c r="A525" i="82"/>
  <c r="A524" i="82"/>
  <c r="A523" i="82"/>
  <c r="A522" i="82"/>
  <c r="A521" i="82"/>
  <c r="A520" i="82"/>
  <c r="A519" i="82"/>
  <c r="A518" i="82"/>
  <c r="A517" i="82"/>
  <c r="A516" i="82"/>
  <c r="A515" i="82"/>
  <c r="A514" i="82"/>
  <c r="A513" i="82"/>
  <c r="A512" i="82"/>
  <c r="A511" i="82"/>
  <c r="A510" i="82"/>
  <c r="A509" i="82"/>
  <c r="A508" i="82"/>
  <c r="A507" i="82"/>
  <c r="A506" i="82"/>
  <c r="A505" i="82"/>
  <c r="A504" i="82"/>
  <c r="A503" i="82"/>
  <c r="A502" i="82"/>
  <c r="A501" i="82"/>
  <c r="A495" i="82"/>
  <c r="A494" i="82"/>
  <c r="A493" i="82"/>
  <c r="B13" i="104" s="1"/>
  <c r="A492" i="82"/>
  <c r="A491" i="82"/>
  <c r="A490" i="82"/>
  <c r="A489" i="82"/>
  <c r="A488" i="82"/>
  <c r="A487" i="82"/>
  <c r="H72" i="105" s="1"/>
  <c r="A486" i="82"/>
  <c r="A485" i="82"/>
  <c r="A484" i="82"/>
  <c r="A483" i="82"/>
  <c r="A482" i="82"/>
  <c r="A481" i="82"/>
  <c r="G4" i="105" s="1"/>
  <c r="A480" i="82"/>
  <c r="J4" i="105" s="1"/>
  <c r="A479" i="82"/>
  <c r="I4" i="105" s="1"/>
  <c r="A478" i="82"/>
  <c r="H4" i="105" s="1"/>
  <c r="A477" i="82"/>
  <c r="E4" i="105" s="1"/>
  <c r="A476" i="82"/>
  <c r="D4" i="105" s="1"/>
  <c r="A475" i="82"/>
  <c r="F4" i="105" s="1"/>
  <c r="A474" i="82"/>
  <c r="C4" i="105" s="1"/>
  <c r="A473" i="82"/>
  <c r="B4" i="105" s="1"/>
  <c r="A472" i="82"/>
  <c r="A471" i="82"/>
  <c r="A470" i="82"/>
  <c r="A469" i="82"/>
  <c r="A468" i="82"/>
  <c r="A467" i="82"/>
  <c r="A466" i="82"/>
  <c r="H75" i="105" s="1"/>
  <c r="A465" i="82"/>
  <c r="H74" i="105" s="1"/>
  <c r="A464" i="82"/>
  <c r="H73" i="105" s="1"/>
  <c r="A463" i="82"/>
  <c r="A462" i="82"/>
  <c r="A461" i="82"/>
  <c r="A460" i="82"/>
  <c r="A459" i="82"/>
  <c r="B1" i="105" s="1"/>
  <c r="A458" i="82"/>
  <c r="A456" i="82"/>
  <c r="D17" i="44" s="1"/>
  <c r="A455" i="82"/>
  <c r="H17" i="44" s="1"/>
  <c r="A454" i="82"/>
  <c r="F17" i="44" s="1"/>
  <c r="A453" i="82"/>
  <c r="D15" i="44" s="1"/>
  <c r="A452" i="82"/>
  <c r="A451" i="82"/>
  <c r="N17" i="44" s="1"/>
  <c r="A450" i="82"/>
  <c r="A449" i="82"/>
  <c r="A448" i="82"/>
  <c r="A447" i="82"/>
  <c r="A446" i="82"/>
  <c r="A445" i="82"/>
  <c r="A444" i="82"/>
  <c r="A443" i="82"/>
  <c r="A442" i="82"/>
  <c r="A441" i="82"/>
  <c r="A440" i="82"/>
  <c r="A439" i="82"/>
  <c r="A438" i="82"/>
  <c r="A437" i="82"/>
  <c r="A436" i="82"/>
  <c r="A435" i="82"/>
  <c r="A434" i="82"/>
  <c r="A433" i="82"/>
  <c r="A432" i="82"/>
  <c r="A431" i="82"/>
  <c r="A430" i="82"/>
  <c r="A429" i="82"/>
  <c r="A428" i="82"/>
  <c r="A427" i="82"/>
  <c r="A426" i="82"/>
  <c r="A425" i="82"/>
  <c r="A424" i="82"/>
  <c r="A423" i="82"/>
  <c r="A422" i="82"/>
  <c r="A421" i="82"/>
  <c r="A420" i="82"/>
  <c r="E4" i="100" s="1"/>
  <c r="A419" i="82"/>
  <c r="D4" i="100" s="1"/>
  <c r="A418" i="82"/>
  <c r="C4" i="100" s="1"/>
  <c r="A417" i="82"/>
  <c r="B1" i="100" s="1"/>
  <c r="A416" i="82"/>
  <c r="A415" i="82"/>
  <c r="A414" i="82"/>
  <c r="A413" i="82"/>
  <c r="A412" i="82"/>
  <c r="A411" i="82"/>
  <c r="A410" i="82"/>
  <c r="A409" i="82"/>
  <c r="A408" i="82"/>
  <c r="A390" i="82"/>
  <c r="G6" i="96" s="1"/>
  <c r="G33" i="96" s="1"/>
  <c r="A389" i="82"/>
  <c r="F6" i="96" s="1"/>
  <c r="N24" i="96" s="1"/>
  <c r="A388" i="82"/>
  <c r="E6" i="96" s="1"/>
  <c r="A387" i="82"/>
  <c r="D6" i="96" s="1"/>
  <c r="A386" i="82"/>
  <c r="C6" i="96" s="1"/>
  <c r="C33" i="96" s="1"/>
  <c r="A385" i="82"/>
  <c r="B6" i="96" s="1"/>
  <c r="A384" i="82"/>
  <c r="H6" i="96" s="1"/>
  <c r="A383" i="82"/>
  <c r="B1" i="96" s="1"/>
  <c r="A382" i="82"/>
  <c r="J4" i="94" s="1"/>
  <c r="A381" i="82"/>
  <c r="E4" i="94" s="1"/>
  <c r="A380" i="82"/>
  <c r="A379" i="82"/>
  <c r="A378" i="82"/>
  <c r="C4" i="94" s="1"/>
  <c r="A377" i="82"/>
  <c r="B4" i="94" s="1"/>
  <c r="A376" i="82"/>
  <c r="B1" i="94" s="1"/>
  <c r="A375" i="82"/>
  <c r="A374" i="82"/>
  <c r="A372" i="82"/>
  <c r="A371" i="82"/>
  <c r="A370" i="82"/>
  <c r="A369" i="82"/>
  <c r="A368" i="82"/>
  <c r="A367" i="82"/>
  <c r="A366" i="82"/>
  <c r="A365" i="82"/>
  <c r="A364" i="82"/>
  <c r="A363" i="82"/>
  <c r="A362" i="82"/>
  <c r="A361" i="82"/>
  <c r="A360" i="82"/>
  <c r="A359" i="82"/>
  <c r="A358" i="82"/>
  <c r="A357" i="82"/>
  <c r="A356" i="82"/>
  <c r="A355" i="82"/>
  <c r="I4" i="88" s="1"/>
  <c r="A354" i="82"/>
  <c r="H4" i="88" s="1"/>
  <c r="A353" i="82"/>
  <c r="G4" i="88" s="1"/>
  <c r="A352" i="82"/>
  <c r="D4" i="88" s="1"/>
  <c r="A351" i="82"/>
  <c r="E4" i="88" s="1"/>
  <c r="A350" i="82"/>
  <c r="F4" i="88" s="1"/>
  <c r="A349" i="82"/>
  <c r="C4" i="88" s="1"/>
  <c r="A348" i="82"/>
  <c r="A12" i="49" s="1"/>
  <c r="A347" i="82"/>
  <c r="A346" i="82"/>
  <c r="A345" i="82"/>
  <c r="A344" i="82"/>
  <c r="A343" i="82"/>
  <c r="A342" i="82"/>
  <c r="A341" i="82"/>
  <c r="A340" i="82"/>
  <c r="A339" i="82"/>
  <c r="B1" i="88" s="1"/>
  <c r="A338" i="82"/>
  <c r="P27" i="92" s="1"/>
  <c r="P53" i="92" s="1"/>
  <c r="A337" i="82"/>
  <c r="C27" i="92" s="1"/>
  <c r="P55" i="92" s="1"/>
  <c r="A336" i="82"/>
  <c r="P5" i="92" s="1"/>
  <c r="P54" i="92" s="1"/>
  <c r="A335" i="82"/>
  <c r="C5" i="92" s="1"/>
  <c r="P52" i="92" s="1"/>
  <c r="A334" i="82"/>
  <c r="B1" i="92" s="1"/>
  <c r="A333" i="82"/>
  <c r="A332" i="82"/>
  <c r="D67" i="52" s="1"/>
  <c r="A331" i="82"/>
  <c r="D66" i="52" s="1"/>
  <c r="A330" i="82"/>
  <c r="A329" i="82"/>
  <c r="D64" i="52" s="1"/>
  <c r="A328" i="82"/>
  <c r="D63" i="52" s="1"/>
  <c r="A327" i="82"/>
  <c r="D62" i="52" s="1"/>
  <c r="A326" i="82"/>
  <c r="A325" i="82"/>
  <c r="D60" i="52" s="1"/>
  <c r="A324" i="82"/>
  <c r="D59" i="52" s="1"/>
  <c r="A323" i="82"/>
  <c r="D58" i="52" s="1"/>
  <c r="A322" i="82"/>
  <c r="D57" i="52" s="1"/>
  <c r="A321" i="82"/>
  <c r="A320" i="82"/>
  <c r="D55" i="52" s="1"/>
  <c r="A319" i="82"/>
  <c r="D54" i="52" s="1"/>
  <c r="A318" i="82"/>
  <c r="D53" i="52" s="1"/>
  <c r="A317" i="82"/>
  <c r="D52" i="52" s="1"/>
  <c r="A316" i="82"/>
  <c r="A315" i="82"/>
  <c r="D50" i="52" s="1"/>
  <c r="A314" i="82"/>
  <c r="D49" i="52" s="1"/>
  <c r="A313" i="82"/>
  <c r="D48" i="52" s="1"/>
  <c r="A312" i="82"/>
  <c r="D47" i="52" s="1"/>
  <c r="A311" i="82"/>
  <c r="A310" i="82"/>
  <c r="D45" i="52" s="1"/>
  <c r="A309" i="82"/>
  <c r="D44" i="52" s="1"/>
  <c r="A308" i="82"/>
  <c r="D43" i="52" s="1"/>
  <c r="A307" i="82"/>
  <c r="D42" i="52" s="1"/>
  <c r="A306" i="82"/>
  <c r="A305" i="82"/>
  <c r="D40" i="52" s="1"/>
  <c r="A304" i="82"/>
  <c r="D39" i="52" s="1"/>
  <c r="A303" i="82"/>
  <c r="D38" i="52" s="1"/>
  <c r="A302" i="82"/>
  <c r="D37" i="52" s="1"/>
  <c r="A301" i="82"/>
  <c r="D36" i="52" s="1"/>
  <c r="A300" i="82"/>
  <c r="D35" i="52" s="1"/>
  <c r="A299" i="82"/>
  <c r="A298" i="82"/>
  <c r="D33" i="52" s="1"/>
  <c r="A297" i="82"/>
  <c r="D32" i="52" s="1"/>
  <c r="A296" i="82"/>
  <c r="D31" i="52" s="1"/>
  <c r="A295" i="82"/>
  <c r="D30" i="52" s="1"/>
  <c r="A294" i="82"/>
  <c r="D29" i="52" s="1"/>
  <c r="A293" i="82"/>
  <c r="D28" i="52" s="1"/>
  <c r="A292" i="82"/>
  <c r="A291" i="82"/>
  <c r="D26" i="52" s="1"/>
  <c r="A290" i="82"/>
  <c r="D25" i="52" s="1"/>
  <c r="A289" i="82"/>
  <c r="D24" i="52" s="1"/>
  <c r="A288" i="82"/>
  <c r="D23" i="52" s="1"/>
  <c r="A287" i="82"/>
  <c r="D22" i="52" s="1"/>
  <c r="A286" i="82"/>
  <c r="D21" i="52" s="1"/>
  <c r="A285" i="82"/>
  <c r="D20" i="52" s="1"/>
  <c r="A284" i="82"/>
  <c r="D19" i="52" s="1"/>
  <c r="A283" i="82"/>
  <c r="A282" i="82"/>
  <c r="D13" i="52" s="1"/>
  <c r="A281" i="82"/>
  <c r="D12" i="52" s="1"/>
  <c r="A280" i="82"/>
  <c r="D11" i="52" s="1"/>
  <c r="A279" i="82"/>
  <c r="D10" i="52" s="1"/>
  <c r="A278" i="82"/>
  <c r="D9" i="52" s="1"/>
  <c r="A277" i="82"/>
  <c r="D8" i="52" s="1"/>
  <c r="A276" i="82"/>
  <c r="D7" i="52" s="1"/>
  <c r="A275" i="82"/>
  <c r="D6" i="52" s="1"/>
  <c r="A274" i="82"/>
  <c r="D5" i="52" s="1"/>
  <c r="A273" i="82"/>
  <c r="C1" i="52" s="1"/>
  <c r="A272" i="82"/>
  <c r="A271" i="82"/>
  <c r="A270" i="82"/>
  <c r="A269" i="82"/>
  <c r="A268" i="82"/>
  <c r="A267" i="82"/>
  <c r="A266" i="82"/>
  <c r="A265" i="82"/>
  <c r="A264" i="82"/>
  <c r="A263" i="82"/>
  <c r="A262" i="82"/>
  <c r="A261" i="82"/>
  <c r="A260" i="82"/>
  <c r="A259" i="82"/>
  <c r="A258" i="82"/>
  <c r="A257" i="82"/>
  <c r="A256" i="82"/>
  <c r="A255" i="82"/>
  <c r="A254" i="82"/>
  <c r="A253" i="82"/>
  <c r="A252" i="82"/>
  <c r="A251" i="82"/>
  <c r="A250" i="82"/>
  <c r="A249" i="82"/>
  <c r="A248" i="82"/>
  <c r="A247" i="82"/>
  <c r="A246" i="82"/>
  <c r="A245" i="82"/>
  <c r="A244" i="82"/>
  <c r="A243" i="82"/>
  <c r="A242" i="82"/>
  <c r="A241" i="82"/>
  <c r="A240" i="82"/>
  <c r="A239" i="82"/>
  <c r="A238" i="82"/>
  <c r="A237" i="82"/>
  <c r="A236" i="82"/>
  <c r="A235" i="82"/>
  <c r="A234" i="82"/>
  <c r="A233" i="82"/>
  <c r="A232" i="82"/>
  <c r="A231" i="82"/>
  <c r="A230" i="82"/>
  <c r="A229" i="82"/>
  <c r="A228" i="82"/>
  <c r="A227" i="82"/>
  <c r="A226" i="82"/>
  <c r="A225" i="82"/>
  <c r="A224" i="82"/>
  <c r="A223" i="82"/>
  <c r="A222" i="82"/>
  <c r="A221" i="82"/>
  <c r="A220" i="82"/>
  <c r="A219" i="82"/>
  <c r="A218" i="82"/>
  <c r="A217" i="82"/>
  <c r="A216" i="82"/>
  <c r="E61" i="84" s="1"/>
  <c r="A215" i="82"/>
  <c r="E30" i="84" s="1"/>
  <c r="A214" i="82"/>
  <c r="E7" i="84" s="1"/>
  <c r="A213" i="82"/>
  <c r="E77" i="84" s="1"/>
  <c r="A212" i="82"/>
  <c r="E24" i="84" s="1"/>
  <c r="A211" i="82"/>
  <c r="E59" i="84" s="1"/>
  <c r="A210" i="82"/>
  <c r="A209" i="82"/>
  <c r="E65" i="84" s="1"/>
  <c r="A208" i="82"/>
  <c r="A207" i="82"/>
  <c r="AI9" i="58" s="1"/>
  <c r="A206" i="82"/>
  <c r="CO5" i="84" s="1"/>
  <c r="CO28" i="84" s="1"/>
  <c r="CO65" i="84" s="1"/>
  <c r="A205" i="82"/>
  <c r="A204" i="82"/>
  <c r="A203" i="82"/>
  <c r="A202" i="82"/>
  <c r="A201" i="82"/>
  <c r="A200" i="82"/>
  <c r="F1" i="84" s="1"/>
  <c r="A199" i="82"/>
  <c r="A198" i="82"/>
  <c r="A197" i="82"/>
  <c r="A196" i="82"/>
  <c r="A194" i="82"/>
  <c r="A193" i="82"/>
  <c r="A192" i="82"/>
  <c r="AB33" i="58" s="1"/>
  <c r="A191" i="82"/>
  <c r="A190" i="82"/>
  <c r="AM9" i="58" s="1"/>
  <c r="A188" i="82"/>
  <c r="AK9" i="58" s="1"/>
  <c r="A187" i="82"/>
  <c r="AE9" i="58" s="1"/>
  <c r="A186" i="82"/>
  <c r="AD9" i="58" s="1"/>
  <c r="A185" i="82"/>
  <c r="AD7" i="58" s="1"/>
  <c r="A184" i="82"/>
  <c r="AC9" i="58" s="1"/>
  <c r="A183" i="82"/>
  <c r="AA9" i="58" s="1"/>
  <c r="A182" i="82"/>
  <c r="X9" i="58" s="1"/>
  <c r="A181" i="82"/>
  <c r="E9" i="58" s="1"/>
  <c r="A180" i="82"/>
  <c r="D9" i="58" s="1"/>
  <c r="A179" i="82"/>
  <c r="C9" i="58" s="1"/>
  <c r="A178" i="82"/>
  <c r="B9" i="58" s="1"/>
  <c r="A177" i="82"/>
  <c r="A176" i="82"/>
  <c r="B40" i="48" s="1"/>
  <c r="A175" i="82"/>
  <c r="A174" i="82"/>
  <c r="A173" i="82"/>
  <c r="B24" i="48" s="1"/>
  <c r="A172" i="82"/>
  <c r="A171" i="82"/>
  <c r="B16" i="48" s="1"/>
  <c r="A170" i="82"/>
  <c r="B9" i="48" s="1"/>
  <c r="B17" i="48" s="1"/>
  <c r="B34" i="48" s="1"/>
  <c r="A169" i="82"/>
  <c r="E16" i="48" s="1"/>
  <c r="A168" i="82"/>
  <c r="B8" i="48" s="1"/>
  <c r="A167" i="82"/>
  <c r="B1" i="48" s="1"/>
  <c r="A166" i="82"/>
  <c r="B48" i="47" s="1"/>
  <c r="A165" i="82"/>
  <c r="B23" i="47" s="1"/>
  <c r="A164" i="82"/>
  <c r="D6" i="47" s="1"/>
  <c r="A163" i="82"/>
  <c r="L23" i="47" s="1"/>
  <c r="A162" i="82"/>
  <c r="A161" i="82"/>
  <c r="A160" i="82"/>
  <c r="A159" i="82"/>
  <c r="B43" i="47" s="1"/>
  <c r="A158" i="82"/>
  <c r="B37" i="47" s="1"/>
  <c r="A157" i="82"/>
  <c r="B30" i="47" s="1"/>
  <c r="A156" i="82"/>
  <c r="B15" i="47" s="1"/>
  <c r="A155" i="82"/>
  <c r="D12" i="47" s="1"/>
  <c r="A154" i="82"/>
  <c r="D11" i="47" s="1"/>
  <c r="A153" i="82"/>
  <c r="A152" i="82"/>
  <c r="A151" i="82"/>
  <c r="B13" i="47" s="1"/>
  <c r="A150" i="82"/>
  <c r="B12" i="47" s="1"/>
  <c r="A149" i="82"/>
  <c r="B11" i="47" s="1"/>
  <c r="A148" i="82"/>
  <c r="B10" i="47" s="1"/>
  <c r="A147" i="82"/>
  <c r="B8" i="47" s="1"/>
  <c r="A146" i="82"/>
  <c r="B1" i="47" s="1"/>
  <c r="A145" i="82"/>
  <c r="A144" i="82"/>
  <c r="A143" i="82"/>
  <c r="A142" i="82"/>
  <c r="A137" i="82"/>
  <c r="C5" i="49" s="1"/>
  <c r="A136" i="82"/>
  <c r="A135" i="82"/>
  <c r="A134" i="82"/>
  <c r="A133" i="82"/>
  <c r="AK7" i="58" s="1"/>
  <c r="A132" i="82"/>
  <c r="A131" i="82"/>
  <c r="A129" i="82"/>
  <c r="A128" i="82"/>
  <c r="A127" i="82"/>
  <c r="A125" i="82"/>
  <c r="A124" i="82"/>
  <c r="A123" i="82"/>
  <c r="A122" i="82"/>
  <c r="C14" i="49" s="1"/>
  <c r="A121" i="82"/>
  <c r="A120" i="82"/>
  <c r="A119" i="82"/>
  <c r="C12" i="49" s="1"/>
  <c r="A118" i="82"/>
  <c r="A117" i="82"/>
  <c r="A116" i="82"/>
  <c r="C1" i="49" s="1"/>
  <c r="A115" i="82"/>
  <c r="A114" i="82"/>
  <c r="A113" i="82"/>
  <c r="A112" i="82"/>
  <c r="A111" i="82"/>
  <c r="A110" i="82"/>
  <c r="A109" i="82"/>
  <c r="A108" i="82"/>
  <c r="A107" i="82"/>
  <c r="A106" i="82"/>
  <c r="A105" i="82"/>
  <c r="A104" i="82"/>
  <c r="A103" i="82"/>
  <c r="A102" i="82"/>
  <c r="A101" i="82"/>
  <c r="A100" i="82"/>
  <c r="A99" i="82"/>
  <c r="A98" i="82"/>
  <c r="B56" i="45" s="1"/>
  <c r="B55" i="48" s="1"/>
  <c r="A97" i="82"/>
  <c r="B55" i="45" s="1"/>
  <c r="B54" i="48" s="1"/>
  <c r="A96" i="82"/>
  <c r="B54" i="45" s="1"/>
  <c r="B53" i="48" s="1"/>
  <c r="A95" i="82"/>
  <c r="A94" i="82"/>
  <c r="A93" i="82"/>
  <c r="A92" i="82"/>
  <c r="A91" i="82"/>
  <c r="A90" i="82"/>
  <c r="A89" i="82"/>
  <c r="B48" i="45" s="1"/>
  <c r="B60" i="47" s="1"/>
  <c r="A88" i="82"/>
  <c r="J39" i="45" s="1"/>
  <c r="A87" i="82"/>
  <c r="H39" i="45" s="1"/>
  <c r="A86" i="82"/>
  <c r="C39" i="45" s="1"/>
  <c r="A85" i="82"/>
  <c r="B39" i="45" s="1"/>
  <c r="A84" i="82"/>
  <c r="B38" i="45" s="1"/>
  <c r="A83" i="82"/>
  <c r="B34" i="45" s="1"/>
  <c r="B56" i="47" s="1"/>
  <c r="A82" i="82"/>
  <c r="A81" i="82"/>
  <c r="A80" i="82"/>
  <c r="A79" i="82"/>
  <c r="A78" i="82"/>
  <c r="B32" i="45" s="1"/>
  <c r="A77" i="82"/>
  <c r="A76" i="82"/>
  <c r="A75" i="82"/>
  <c r="A74" i="82"/>
  <c r="CO7" i="84" s="1"/>
  <c r="A73" i="82"/>
  <c r="A72" i="82"/>
  <c r="B30" i="45" s="1"/>
  <c r="A71" i="82"/>
  <c r="B28" i="45" s="1"/>
  <c r="B50" i="47" s="1"/>
  <c r="A70" i="82"/>
  <c r="B22" i="45" s="1"/>
  <c r="A69" i="82"/>
  <c r="J15" i="45" s="1"/>
  <c r="A68" i="82"/>
  <c r="B15" i="45" s="1"/>
  <c r="A67" i="82"/>
  <c r="B9" i="45" s="1"/>
  <c r="A66" i="82"/>
  <c r="B7" i="45" s="1"/>
  <c r="B6" i="48" s="1"/>
  <c r="A65" i="82"/>
  <c r="H6" i="45" s="1"/>
  <c r="AA5" i="58" s="1"/>
  <c r="A64" i="82"/>
  <c r="E6" i="45" s="1"/>
  <c r="E5" i="47" s="1"/>
  <c r="A63" i="82"/>
  <c r="B6" i="45" s="1"/>
  <c r="A62" i="82"/>
  <c r="H5" i="45" s="1"/>
  <c r="A61" i="82"/>
  <c r="E5" i="45" s="1"/>
  <c r="A60" i="82"/>
  <c r="A59" i="82"/>
  <c r="H4" i="45" s="1"/>
  <c r="A58" i="82"/>
  <c r="E4" i="45" s="1"/>
  <c r="A57" i="82"/>
  <c r="B4" i="45" s="1"/>
  <c r="A56" i="82"/>
  <c r="A50" i="82"/>
  <c r="G3" i="44" s="1"/>
  <c r="A49" i="82"/>
  <c r="K3" i="44" s="1"/>
  <c r="A48" i="82"/>
  <c r="D4" i="104" s="1"/>
  <c r="A47" i="82"/>
  <c r="A46" i="82"/>
  <c r="A45" i="82"/>
  <c r="A44" i="82"/>
  <c r="A43" i="82"/>
  <c r="A42" i="82"/>
  <c r="A41" i="82"/>
  <c r="A40" i="82"/>
  <c r="A39" i="82"/>
  <c r="A38" i="82"/>
  <c r="A37" i="82"/>
  <c r="A36" i="82"/>
  <c r="A35" i="82"/>
  <c r="A34" i="82"/>
  <c r="A33" i="82"/>
  <c r="A32" i="82"/>
  <c r="A31" i="82"/>
  <c r="A30" i="82"/>
  <c r="A29" i="82"/>
  <c r="A28" i="82"/>
  <c r="A27" i="82"/>
  <c r="A26" i="82"/>
  <c r="A25" i="82"/>
  <c r="A24" i="82"/>
  <c r="A23" i="82"/>
  <c r="A22" i="82"/>
  <c r="A21" i="82"/>
  <c r="A20" i="82"/>
  <c r="A19" i="82"/>
  <c r="A18" i="82"/>
  <c r="A17" i="82"/>
  <c r="B1" i="45" s="1"/>
  <c r="A16" i="82"/>
  <c r="A15" i="82"/>
  <c r="A14" i="82"/>
  <c r="A13" i="82"/>
  <c r="A12" i="82"/>
  <c r="A11" i="82"/>
  <c r="A10" i="82"/>
  <c r="A9" i="82"/>
  <c r="A8" i="82"/>
  <c r="A7" i="82"/>
  <c r="A5" i="82"/>
  <c r="A1" i="82"/>
  <c r="AW31" i="58"/>
  <c r="AV31" i="58"/>
  <c r="AU31" i="58"/>
  <c r="AW30" i="58"/>
  <c r="AV30" i="58"/>
  <c r="AU30" i="58"/>
  <c r="AW29" i="58"/>
  <c r="AV29" i="58"/>
  <c r="AU29" i="58"/>
  <c r="AW28" i="58"/>
  <c r="AV28" i="58"/>
  <c r="AU28" i="58"/>
  <c r="AW27" i="58"/>
  <c r="AV27" i="58"/>
  <c r="AU27" i="58"/>
  <c r="AW26" i="58"/>
  <c r="AV26" i="58"/>
  <c r="AU26" i="58"/>
  <c r="AW25" i="58"/>
  <c r="AV25" i="58"/>
  <c r="AU25" i="58"/>
  <c r="AW24" i="58"/>
  <c r="AV24" i="58"/>
  <c r="AU24" i="58"/>
  <c r="AW23" i="58"/>
  <c r="AV23" i="58"/>
  <c r="AU23" i="58"/>
  <c r="AW22" i="58"/>
  <c r="AV22" i="58"/>
  <c r="AU22" i="58"/>
  <c r="AW21" i="58"/>
  <c r="AV21" i="58"/>
  <c r="AU21" i="58"/>
  <c r="AW20" i="58"/>
  <c r="AV20" i="58"/>
  <c r="AU20" i="58"/>
  <c r="AW19" i="58"/>
  <c r="AV19" i="58"/>
  <c r="AU19" i="58"/>
  <c r="AW18" i="58"/>
  <c r="AV18" i="58"/>
  <c r="AU18" i="58"/>
  <c r="AW17" i="58"/>
  <c r="AV17" i="58"/>
  <c r="AU17" i="58"/>
  <c r="AW16" i="58"/>
  <c r="AV16" i="58"/>
  <c r="AV15" i="58"/>
  <c r="AW14" i="58"/>
  <c r="B40" i="45"/>
  <c r="H40" i="45" s="1"/>
  <c r="Q48" i="92"/>
  <c r="Q53" i="92" s="1"/>
  <c r="D48" i="92"/>
  <c r="Q55" i="92" s="1"/>
  <c r="Q27" i="92"/>
  <c r="Q54" i="92" s="1"/>
  <c r="D27" i="92"/>
  <c r="Q52" i="92" s="1"/>
  <c r="E28" i="92"/>
  <c r="BL12" i="58"/>
  <c r="BB12" i="58" s="1"/>
  <c r="BL13" i="58"/>
  <c r="BB13" i="58" s="1"/>
  <c r="BL14" i="58"/>
  <c r="BB14" i="58" s="1"/>
  <c r="AH14" i="58" s="1"/>
  <c r="BL15" i="58"/>
  <c r="BB15" i="58" s="1"/>
  <c r="AH15" i="58" s="1"/>
  <c r="BL16" i="58"/>
  <c r="BB16" i="58" s="1"/>
  <c r="AH16" i="58" s="1"/>
  <c r="BL17" i="58"/>
  <c r="BB17" i="58" s="1"/>
  <c r="AH17" i="58" s="1"/>
  <c r="BL18" i="58"/>
  <c r="BB18" i="58" s="1"/>
  <c r="AH18" i="58" s="1"/>
  <c r="BL19" i="58"/>
  <c r="BB19" i="58" s="1"/>
  <c r="AH19" i="58" s="1"/>
  <c r="BL20" i="58"/>
  <c r="BB20" i="58" s="1"/>
  <c r="AH20" i="58" s="1"/>
  <c r="BL21" i="58"/>
  <c r="BB21" i="58" s="1"/>
  <c r="AH21" i="58" s="1"/>
  <c r="BL22" i="58"/>
  <c r="BB22" i="58" s="1"/>
  <c r="AH22" i="58" s="1"/>
  <c r="BL23" i="58"/>
  <c r="BB23" i="58" s="1"/>
  <c r="AH23" i="58" s="1"/>
  <c r="BL24" i="58"/>
  <c r="BB24" i="58" s="1"/>
  <c r="AH24" i="58" s="1"/>
  <c r="BL25" i="58"/>
  <c r="BB25" i="58" s="1"/>
  <c r="AH25" i="58" s="1"/>
  <c r="BL26" i="58"/>
  <c r="BB26" i="58" s="1"/>
  <c r="AH26" i="58" s="1"/>
  <c r="BL27" i="58"/>
  <c r="BB27" i="58" s="1"/>
  <c r="AH27" i="58" s="1"/>
  <c r="BL28" i="58"/>
  <c r="BB28" i="58" s="1"/>
  <c r="AH28" i="58" s="1"/>
  <c r="BL29" i="58"/>
  <c r="BB29" i="58" s="1"/>
  <c r="AH29" i="58" s="1"/>
  <c r="BL30" i="58"/>
  <c r="BB30" i="58" s="1"/>
  <c r="AH30" i="58" s="1"/>
  <c r="BL31" i="58"/>
  <c r="BB31" i="58" s="1"/>
  <c r="AH31" i="58" s="1"/>
  <c r="BL11" i="58"/>
  <c r="BB11" i="58" s="1"/>
  <c r="B25" i="47"/>
  <c r="BA12" i="58"/>
  <c r="AO12" i="58"/>
  <c r="M12" i="58"/>
  <c r="L12" i="58"/>
  <c r="K12" i="58"/>
  <c r="J12" i="58"/>
  <c r="I12" i="58"/>
  <c r="AO3" i="58"/>
  <c r="I13" i="58"/>
  <c r="J13" i="58"/>
  <c r="K13" i="58"/>
  <c r="L13" i="58"/>
  <c r="M13" i="58"/>
  <c r="I14" i="58"/>
  <c r="J14" i="58"/>
  <c r="K14" i="58"/>
  <c r="L14" i="58"/>
  <c r="M14" i="58"/>
  <c r="I15" i="58"/>
  <c r="J15" i="58"/>
  <c r="K15" i="58"/>
  <c r="L15" i="58"/>
  <c r="M15" i="58"/>
  <c r="I16" i="58"/>
  <c r="J16" i="58"/>
  <c r="K16" i="58"/>
  <c r="L16" i="58"/>
  <c r="M16" i="58"/>
  <c r="I17" i="58"/>
  <c r="J17" i="58"/>
  <c r="K17" i="58"/>
  <c r="L17" i="58"/>
  <c r="M17" i="58"/>
  <c r="I18" i="58"/>
  <c r="J18" i="58"/>
  <c r="K18" i="58"/>
  <c r="L18" i="58"/>
  <c r="M18" i="58"/>
  <c r="I19" i="58"/>
  <c r="J19" i="58"/>
  <c r="K19" i="58"/>
  <c r="L19" i="58"/>
  <c r="M19" i="58"/>
  <c r="I20" i="58"/>
  <c r="J20" i="58"/>
  <c r="K20" i="58"/>
  <c r="L20" i="58"/>
  <c r="M20" i="58"/>
  <c r="I21" i="58"/>
  <c r="J21" i="58"/>
  <c r="K21" i="58"/>
  <c r="L21" i="58"/>
  <c r="M21" i="58"/>
  <c r="I22" i="58"/>
  <c r="J22" i="58"/>
  <c r="K22" i="58"/>
  <c r="L22" i="58"/>
  <c r="M22" i="58"/>
  <c r="I23" i="58"/>
  <c r="J23" i="58"/>
  <c r="K23" i="58"/>
  <c r="L23" i="58"/>
  <c r="M23" i="58"/>
  <c r="I24" i="58"/>
  <c r="J24" i="58"/>
  <c r="K24" i="58"/>
  <c r="L24" i="58"/>
  <c r="M24" i="58"/>
  <c r="I25" i="58"/>
  <c r="J25" i="58"/>
  <c r="K25" i="58"/>
  <c r="L25" i="58"/>
  <c r="M25" i="58"/>
  <c r="I26" i="58"/>
  <c r="J26" i="58"/>
  <c r="K26" i="58"/>
  <c r="L26" i="58"/>
  <c r="M26" i="58"/>
  <c r="I27" i="58"/>
  <c r="J27" i="58"/>
  <c r="K27" i="58"/>
  <c r="L27" i="58"/>
  <c r="M27" i="58"/>
  <c r="I28" i="58"/>
  <c r="J28" i="58"/>
  <c r="K28" i="58"/>
  <c r="L28" i="58"/>
  <c r="M28" i="58"/>
  <c r="I29" i="58"/>
  <c r="J29" i="58"/>
  <c r="K29" i="58"/>
  <c r="L29" i="58"/>
  <c r="M29" i="58"/>
  <c r="I30" i="58"/>
  <c r="J30" i="58"/>
  <c r="K30" i="58"/>
  <c r="L30" i="58"/>
  <c r="M30" i="58"/>
  <c r="I31" i="58"/>
  <c r="J31" i="58"/>
  <c r="K31" i="58"/>
  <c r="L31" i="58"/>
  <c r="M31" i="58"/>
  <c r="M11" i="58"/>
  <c r="L11" i="58"/>
  <c r="K11" i="58"/>
  <c r="J11" i="58"/>
  <c r="I11" i="58"/>
  <c r="AS19" i="58"/>
  <c r="AS20" i="58"/>
  <c r="AS21" i="58"/>
  <c r="AS22" i="58"/>
  <c r="AS23" i="58"/>
  <c r="AS24" i="58"/>
  <c r="AS25" i="58"/>
  <c r="AS26" i="58"/>
  <c r="AS27" i="58"/>
  <c r="AS28" i="58"/>
  <c r="AS29" i="58"/>
  <c r="AS30" i="58"/>
  <c r="AS31" i="58"/>
  <c r="H52" i="58"/>
  <c r="H51" i="58"/>
  <c r="H50" i="58"/>
  <c r="H49" i="58"/>
  <c r="H48" i="58"/>
  <c r="AR17" i="58"/>
  <c r="AR18" i="58"/>
  <c r="AR19" i="58"/>
  <c r="AR20" i="58"/>
  <c r="AR21" i="58"/>
  <c r="AR22" i="58"/>
  <c r="AR23" i="58"/>
  <c r="AR24" i="58"/>
  <c r="AR25" i="58"/>
  <c r="AR26" i="58"/>
  <c r="AR27" i="58"/>
  <c r="AR28" i="58"/>
  <c r="AR29" i="58"/>
  <c r="AR30" i="58"/>
  <c r="AR31" i="58"/>
  <c r="AQ17" i="58"/>
  <c r="AQ18" i="58"/>
  <c r="AQ19" i="58"/>
  <c r="AQ20" i="58"/>
  <c r="AQ21" i="58"/>
  <c r="AQ22" i="58"/>
  <c r="AQ23" i="58"/>
  <c r="AQ24" i="58"/>
  <c r="AQ25" i="58"/>
  <c r="AQ26" i="58"/>
  <c r="AQ27" i="58"/>
  <c r="AQ28" i="58"/>
  <c r="AQ29" i="58"/>
  <c r="AQ30" i="58"/>
  <c r="AQ31" i="58"/>
  <c r="G46" i="58"/>
  <c r="G45" i="58"/>
  <c r="G44" i="58"/>
  <c r="G43" i="58"/>
  <c r="G42" i="58"/>
  <c r="D42" i="58"/>
  <c r="M25" i="47"/>
  <c r="M26" i="47"/>
  <c r="M27" i="47"/>
  <c r="M28" i="47"/>
  <c r="M29" i="47"/>
  <c r="M24" i="47"/>
  <c r="K17" i="45"/>
  <c r="K21" i="45"/>
  <c r="K20" i="45"/>
  <c r="K19" i="45"/>
  <c r="K18" i="45"/>
  <c r="K16" i="45"/>
  <c r="AO4" i="58"/>
  <c r="AO5" i="58"/>
  <c r="AO6" i="58"/>
  <c r="AO7" i="58"/>
  <c r="AO8" i="58"/>
  <c r="AO9" i="58"/>
  <c r="AO10" i="58"/>
  <c r="AO11" i="58"/>
  <c r="AO13" i="58"/>
  <c r="AO14" i="58"/>
  <c r="AO15" i="58"/>
  <c r="AO16" i="58"/>
  <c r="AO17" i="58"/>
  <c r="AO18" i="58"/>
  <c r="AO19" i="58"/>
  <c r="AO20" i="58"/>
  <c r="AO21" i="58"/>
  <c r="AO22" i="58"/>
  <c r="AO23" i="58"/>
  <c r="AO24" i="58"/>
  <c r="AO25" i="58"/>
  <c r="AO2" i="58"/>
  <c r="E45" i="92"/>
  <c r="F45" i="92"/>
  <c r="G45" i="92"/>
  <c r="H45" i="92"/>
  <c r="I45" i="92"/>
  <c r="J45" i="92"/>
  <c r="K45" i="92"/>
  <c r="L45" i="92"/>
  <c r="M45" i="92"/>
  <c r="N45" i="92"/>
  <c r="E46" i="92"/>
  <c r="F46" i="92"/>
  <c r="G46" i="92"/>
  <c r="H46" i="92"/>
  <c r="I46" i="92"/>
  <c r="J46" i="92"/>
  <c r="K46" i="92"/>
  <c r="L46" i="92"/>
  <c r="M46" i="92"/>
  <c r="N46" i="92"/>
  <c r="E47" i="92"/>
  <c r="F47" i="92"/>
  <c r="G47" i="92"/>
  <c r="H47" i="92"/>
  <c r="I47" i="92"/>
  <c r="J47" i="92"/>
  <c r="K47" i="92"/>
  <c r="L47" i="92"/>
  <c r="M47" i="92"/>
  <c r="N47" i="92"/>
  <c r="E24" i="92"/>
  <c r="F24" i="92"/>
  <c r="G24" i="92"/>
  <c r="H24" i="92"/>
  <c r="I24" i="92"/>
  <c r="J24" i="92"/>
  <c r="K24" i="92"/>
  <c r="L24" i="92"/>
  <c r="M24" i="92"/>
  <c r="N24" i="92"/>
  <c r="E25" i="92"/>
  <c r="F25" i="92"/>
  <c r="G25" i="92"/>
  <c r="H25" i="92"/>
  <c r="I25" i="92"/>
  <c r="J25" i="92"/>
  <c r="K25" i="92"/>
  <c r="L25" i="92"/>
  <c r="M25" i="92"/>
  <c r="N25" i="92"/>
  <c r="E26" i="92"/>
  <c r="F26" i="92"/>
  <c r="G26" i="92"/>
  <c r="H26" i="92"/>
  <c r="I26" i="92"/>
  <c r="J26" i="92"/>
  <c r="K26" i="92"/>
  <c r="L26" i="92"/>
  <c r="M26" i="92"/>
  <c r="N26" i="92"/>
  <c r="N44" i="92"/>
  <c r="M44" i="92"/>
  <c r="L44" i="92"/>
  <c r="K44" i="92"/>
  <c r="J44" i="92"/>
  <c r="I44" i="92"/>
  <c r="H44" i="92"/>
  <c r="G44" i="92"/>
  <c r="F44" i="92"/>
  <c r="E44" i="92"/>
  <c r="N43" i="92"/>
  <c r="M43" i="92"/>
  <c r="L43" i="92"/>
  <c r="K43" i="92"/>
  <c r="J43" i="92"/>
  <c r="I43" i="92"/>
  <c r="H43" i="92"/>
  <c r="G43" i="92"/>
  <c r="F43" i="92"/>
  <c r="E43" i="92"/>
  <c r="N42" i="92"/>
  <c r="M42" i="92"/>
  <c r="L42" i="92"/>
  <c r="K42" i="92"/>
  <c r="J42" i="92"/>
  <c r="I42" i="92"/>
  <c r="H42" i="92"/>
  <c r="G42" i="92"/>
  <c r="F42" i="92"/>
  <c r="E42" i="92"/>
  <c r="N41" i="92"/>
  <c r="M41" i="92"/>
  <c r="L41" i="92"/>
  <c r="K41" i="92"/>
  <c r="J41" i="92"/>
  <c r="I41" i="92"/>
  <c r="H41" i="92"/>
  <c r="G41" i="92"/>
  <c r="F41" i="92"/>
  <c r="E41" i="92"/>
  <c r="N40" i="92"/>
  <c r="M40" i="92"/>
  <c r="L40" i="92"/>
  <c r="K40" i="92"/>
  <c r="J40" i="92"/>
  <c r="I40" i="92"/>
  <c r="H40" i="92"/>
  <c r="G40" i="92"/>
  <c r="F40" i="92"/>
  <c r="E40" i="92"/>
  <c r="N39" i="92"/>
  <c r="M39" i="92"/>
  <c r="L39" i="92"/>
  <c r="K39" i="92"/>
  <c r="J39" i="92"/>
  <c r="I39" i="92"/>
  <c r="H39" i="92"/>
  <c r="G39" i="92"/>
  <c r="F39" i="92"/>
  <c r="E39" i="92"/>
  <c r="N38" i="92"/>
  <c r="M38" i="92"/>
  <c r="L38" i="92"/>
  <c r="K38" i="92"/>
  <c r="J38" i="92"/>
  <c r="I38" i="92"/>
  <c r="H38" i="92"/>
  <c r="G38" i="92"/>
  <c r="F38" i="92"/>
  <c r="E38" i="92"/>
  <c r="N37" i="92"/>
  <c r="M37" i="92"/>
  <c r="L37" i="92"/>
  <c r="K37" i="92"/>
  <c r="J37" i="92"/>
  <c r="I37" i="92"/>
  <c r="H37" i="92"/>
  <c r="G37" i="92"/>
  <c r="F37" i="92"/>
  <c r="E37" i="92"/>
  <c r="N36" i="92"/>
  <c r="M36" i="92"/>
  <c r="L36" i="92"/>
  <c r="K36" i="92"/>
  <c r="J36" i="92"/>
  <c r="I36" i="92"/>
  <c r="H36" i="92"/>
  <c r="G36" i="92"/>
  <c r="F36" i="92"/>
  <c r="E36" i="92"/>
  <c r="N35" i="92"/>
  <c r="M35" i="92"/>
  <c r="L35" i="92"/>
  <c r="K35" i="92"/>
  <c r="J35" i="92"/>
  <c r="I35" i="92"/>
  <c r="H35" i="92"/>
  <c r="G35" i="92"/>
  <c r="F35" i="92"/>
  <c r="E35" i="92"/>
  <c r="N34" i="92"/>
  <c r="M34" i="92"/>
  <c r="L34" i="92"/>
  <c r="K34" i="92"/>
  <c r="J34" i="92"/>
  <c r="I34" i="92"/>
  <c r="H34" i="92"/>
  <c r="G34" i="92"/>
  <c r="F34" i="92"/>
  <c r="E34" i="92"/>
  <c r="N33" i="92"/>
  <c r="M33" i="92"/>
  <c r="L33" i="92"/>
  <c r="K33" i="92"/>
  <c r="J33" i="92"/>
  <c r="I33" i="92"/>
  <c r="H33" i="92"/>
  <c r="G33" i="92"/>
  <c r="F33" i="92"/>
  <c r="E33" i="92"/>
  <c r="N32" i="92"/>
  <c r="M32" i="92"/>
  <c r="L32" i="92"/>
  <c r="K32" i="92"/>
  <c r="J32" i="92"/>
  <c r="I32" i="92"/>
  <c r="H32" i="92"/>
  <c r="G32" i="92"/>
  <c r="F32" i="92"/>
  <c r="E32" i="92"/>
  <c r="N31" i="92"/>
  <c r="M31" i="92"/>
  <c r="L31" i="92"/>
  <c r="K31" i="92"/>
  <c r="J31" i="92"/>
  <c r="I31" i="92"/>
  <c r="H31" i="92"/>
  <c r="G31" i="92"/>
  <c r="F31" i="92"/>
  <c r="E31" i="92"/>
  <c r="N30" i="92"/>
  <c r="M30" i="92"/>
  <c r="L30" i="92"/>
  <c r="K30" i="92"/>
  <c r="J30" i="92"/>
  <c r="I30" i="92"/>
  <c r="H30" i="92"/>
  <c r="G30" i="92"/>
  <c r="F30" i="92"/>
  <c r="E30" i="92"/>
  <c r="N29" i="92"/>
  <c r="M29" i="92"/>
  <c r="L29" i="92"/>
  <c r="K29" i="92"/>
  <c r="J29" i="92"/>
  <c r="I29" i="92"/>
  <c r="H29" i="92"/>
  <c r="G29" i="92"/>
  <c r="F29" i="92"/>
  <c r="E29" i="92"/>
  <c r="N28" i="92"/>
  <c r="M28" i="92"/>
  <c r="L28" i="92"/>
  <c r="K28" i="92"/>
  <c r="J28" i="92"/>
  <c r="I28" i="92"/>
  <c r="H28" i="92"/>
  <c r="G28" i="92"/>
  <c r="F28" i="92"/>
  <c r="J8" i="92"/>
  <c r="K8" i="92"/>
  <c r="L8" i="92"/>
  <c r="M8" i="92"/>
  <c r="N8" i="92"/>
  <c r="J9" i="92"/>
  <c r="K9" i="92"/>
  <c r="L9" i="92"/>
  <c r="M9" i="92"/>
  <c r="N9" i="92"/>
  <c r="J10" i="92"/>
  <c r="K10" i="92"/>
  <c r="L10" i="92"/>
  <c r="M10" i="92"/>
  <c r="N10" i="92"/>
  <c r="J11" i="92"/>
  <c r="K11" i="92"/>
  <c r="L11" i="92"/>
  <c r="M11" i="92"/>
  <c r="N11" i="92"/>
  <c r="J12" i="92"/>
  <c r="K12" i="92"/>
  <c r="L12" i="92"/>
  <c r="M12" i="92"/>
  <c r="N12" i="92"/>
  <c r="J13" i="92"/>
  <c r="K13" i="92"/>
  <c r="L13" i="92"/>
  <c r="M13" i="92"/>
  <c r="N13" i="92"/>
  <c r="J14" i="92"/>
  <c r="K14" i="92"/>
  <c r="L14" i="92"/>
  <c r="M14" i="92"/>
  <c r="N14" i="92"/>
  <c r="J15" i="92"/>
  <c r="K15" i="92"/>
  <c r="L15" i="92"/>
  <c r="M15" i="92"/>
  <c r="N15" i="92"/>
  <c r="J16" i="92"/>
  <c r="K16" i="92"/>
  <c r="L16" i="92"/>
  <c r="M16" i="92"/>
  <c r="N16" i="92"/>
  <c r="J17" i="92"/>
  <c r="K17" i="92"/>
  <c r="L17" i="92"/>
  <c r="M17" i="92"/>
  <c r="N17" i="92"/>
  <c r="J18" i="92"/>
  <c r="K18" i="92"/>
  <c r="L18" i="92"/>
  <c r="M18" i="92"/>
  <c r="N18" i="92"/>
  <c r="J19" i="92"/>
  <c r="K19" i="92"/>
  <c r="L19" i="92"/>
  <c r="M19" i="92"/>
  <c r="N19" i="92"/>
  <c r="J20" i="92"/>
  <c r="K20" i="92"/>
  <c r="L20" i="92"/>
  <c r="M20" i="92"/>
  <c r="N20" i="92"/>
  <c r="J21" i="92"/>
  <c r="K21" i="92"/>
  <c r="L21" i="92"/>
  <c r="M21" i="92"/>
  <c r="N21" i="92"/>
  <c r="J22" i="92"/>
  <c r="K22" i="92"/>
  <c r="L22" i="92"/>
  <c r="M22" i="92"/>
  <c r="N22" i="92"/>
  <c r="J23" i="92"/>
  <c r="K23" i="92"/>
  <c r="L23" i="92"/>
  <c r="M23" i="92"/>
  <c r="N23" i="92"/>
  <c r="K7" i="92"/>
  <c r="M7" i="92"/>
  <c r="J7" i="92"/>
  <c r="N7" i="92"/>
  <c r="L7" i="92"/>
  <c r="E8" i="92"/>
  <c r="F8" i="92"/>
  <c r="G8" i="92"/>
  <c r="H8" i="92"/>
  <c r="I8" i="92"/>
  <c r="E9" i="92"/>
  <c r="F9" i="92"/>
  <c r="G9" i="92"/>
  <c r="H9" i="92"/>
  <c r="I9" i="92"/>
  <c r="E10" i="92"/>
  <c r="F10" i="92"/>
  <c r="G10" i="92"/>
  <c r="H10" i="92"/>
  <c r="I10" i="92"/>
  <c r="E11" i="92"/>
  <c r="F11" i="92"/>
  <c r="G11" i="92"/>
  <c r="H11" i="92"/>
  <c r="I11" i="92"/>
  <c r="E12" i="92"/>
  <c r="F12" i="92"/>
  <c r="G12" i="92"/>
  <c r="H12" i="92"/>
  <c r="I12" i="92"/>
  <c r="E13" i="92"/>
  <c r="F13" i="92"/>
  <c r="G13" i="92"/>
  <c r="H13" i="92"/>
  <c r="I13" i="92"/>
  <c r="E14" i="92"/>
  <c r="F14" i="92"/>
  <c r="G14" i="92"/>
  <c r="H14" i="92"/>
  <c r="I14" i="92"/>
  <c r="E15" i="92"/>
  <c r="F15" i="92"/>
  <c r="G15" i="92"/>
  <c r="H15" i="92"/>
  <c r="I15" i="92"/>
  <c r="E16" i="92"/>
  <c r="F16" i="92"/>
  <c r="G16" i="92"/>
  <c r="H16" i="92"/>
  <c r="I16" i="92"/>
  <c r="E17" i="92"/>
  <c r="F17" i="92"/>
  <c r="G17" i="92"/>
  <c r="H17" i="92"/>
  <c r="I17" i="92"/>
  <c r="E18" i="92"/>
  <c r="F18" i="92"/>
  <c r="G18" i="92"/>
  <c r="H18" i="92"/>
  <c r="I18" i="92"/>
  <c r="E19" i="92"/>
  <c r="F19" i="92"/>
  <c r="G19" i="92"/>
  <c r="H19" i="92"/>
  <c r="I19" i="92"/>
  <c r="E20" i="92"/>
  <c r="F20" i="92"/>
  <c r="G20" i="92"/>
  <c r="H20" i="92"/>
  <c r="I20" i="92"/>
  <c r="E21" i="92"/>
  <c r="F21" i="92"/>
  <c r="G21" i="92"/>
  <c r="H21" i="92"/>
  <c r="I21" i="92"/>
  <c r="E22" i="92"/>
  <c r="F22" i="92"/>
  <c r="G22" i="92"/>
  <c r="H22" i="92"/>
  <c r="I22" i="92"/>
  <c r="E23" i="92"/>
  <c r="F23" i="92"/>
  <c r="G23" i="92"/>
  <c r="H23" i="92"/>
  <c r="I23" i="92"/>
  <c r="I7" i="92"/>
  <c r="H7" i="92"/>
  <c r="G7" i="92"/>
  <c r="F7" i="92"/>
  <c r="E7" i="92"/>
  <c r="F130" i="82"/>
  <c r="E130" i="82"/>
  <c r="D130" i="82"/>
  <c r="C130" i="82"/>
  <c r="D126" i="82"/>
  <c r="E126" i="82"/>
  <c r="F126" i="82"/>
  <c r="C126" i="82"/>
  <c r="F195" i="82"/>
  <c r="E195" i="82"/>
  <c r="C195" i="82"/>
  <c r="D189" i="82"/>
  <c r="E189" i="82"/>
  <c r="F189" i="82"/>
  <c r="C189" i="82"/>
  <c r="N3" i="44"/>
  <c r="H48" i="105"/>
  <c r="H47" i="105"/>
  <c r="H46" i="105"/>
  <c r="H45" i="105"/>
  <c r="H44" i="105"/>
  <c r="H43" i="105"/>
  <c r="H42" i="105"/>
  <c r="H41" i="105"/>
  <c r="H40" i="105"/>
  <c r="H39" i="105"/>
  <c r="H38" i="105"/>
  <c r="H37" i="105"/>
  <c r="H36" i="105"/>
  <c r="H35" i="105"/>
  <c r="H34" i="105"/>
  <c r="H33" i="105"/>
  <c r="H32" i="105"/>
  <c r="H31" i="105"/>
  <c r="H30" i="105"/>
  <c r="H29" i="105"/>
  <c r="K25" i="105"/>
  <c r="K24" i="105"/>
  <c r="K23" i="105"/>
  <c r="K22" i="105"/>
  <c r="K21" i="105"/>
  <c r="K20" i="105"/>
  <c r="K19" i="105"/>
  <c r="K18" i="105"/>
  <c r="K17" i="105"/>
  <c r="K16" i="105"/>
  <c r="K15" i="105"/>
  <c r="K14" i="105"/>
  <c r="K13" i="105"/>
  <c r="K12" i="105"/>
  <c r="K11" i="105"/>
  <c r="K10" i="105"/>
  <c r="K9" i="105"/>
  <c r="K8" i="105"/>
  <c r="K7" i="105"/>
  <c r="K6" i="105"/>
  <c r="B24" i="47"/>
  <c r="B26" i="47"/>
  <c r="B27" i="47"/>
  <c r="B28" i="47"/>
  <c r="B29" i="47"/>
  <c r="I38" i="45"/>
  <c r="I28" i="45"/>
  <c r="I9" i="45"/>
  <c r="I15" i="45"/>
  <c r="A4" i="103"/>
  <c r="BA13" i="58"/>
  <c r="BA14" i="58"/>
  <c r="BA15" i="58"/>
  <c r="BA16" i="58"/>
  <c r="BA17" i="58"/>
  <c r="BA18" i="58"/>
  <c r="BA19" i="58"/>
  <c r="BA20" i="58"/>
  <c r="BA21" i="58"/>
  <c r="BA22" i="58"/>
  <c r="BA23" i="58"/>
  <c r="BA24" i="58"/>
  <c r="BA25" i="58"/>
  <c r="BA26" i="58"/>
  <c r="BA27" i="58"/>
  <c r="BA28" i="58"/>
  <c r="BA29" i="58"/>
  <c r="BA30" i="58"/>
  <c r="BA31" i="58"/>
  <c r="BA11" i="58"/>
  <c r="A4" i="94"/>
  <c r="C3" i="44"/>
  <c r="AZ31" i="58"/>
  <c r="I46" i="45"/>
  <c r="I47" i="45"/>
  <c r="J46" i="45"/>
  <c r="J47" i="45"/>
  <c r="B3" i="96"/>
  <c r="AA4" i="96" s="1"/>
  <c r="B5" i="96" s="1"/>
  <c r="BZ50" i="84"/>
  <c r="BZ51" i="84"/>
  <c r="BZ52" i="84"/>
  <c r="BZ53" i="84"/>
  <c r="BZ54" i="84"/>
  <c r="BZ55" i="84"/>
  <c r="BZ56" i="84"/>
  <c r="BZ57" i="84"/>
  <c r="BZ58" i="84"/>
  <c r="BJ77" i="84"/>
  <c r="J58" i="47" s="1"/>
  <c r="AT77" i="84"/>
  <c r="G36" i="45" s="1"/>
  <c r="BZ76" i="84"/>
  <c r="BZ75" i="84"/>
  <c r="BZ74" i="84"/>
  <c r="BZ73" i="84"/>
  <c r="BZ72" i="84"/>
  <c r="BZ71" i="84"/>
  <c r="BZ70" i="84"/>
  <c r="BZ69" i="84"/>
  <c r="BZ68" i="84"/>
  <c r="BZ67" i="84"/>
  <c r="AB4" i="58"/>
  <c r="C4" i="58"/>
  <c r="C3" i="58"/>
  <c r="L4" i="48"/>
  <c r="D4" i="48"/>
  <c r="D3" i="48"/>
  <c r="L4" i="47"/>
  <c r="D4" i="47"/>
  <c r="D3" i="47"/>
  <c r="C1" i="44"/>
  <c r="BZ49" i="84"/>
  <c r="BZ48" i="84"/>
  <c r="BZ47" i="84"/>
  <c r="BZ46" i="84"/>
  <c r="BZ45" i="84"/>
  <c r="BZ44" i="84"/>
  <c r="BZ43" i="84"/>
  <c r="BZ42" i="84"/>
  <c r="BZ41" i="84"/>
  <c r="BZ40" i="84"/>
  <c r="BZ39" i="84"/>
  <c r="BZ38" i="84"/>
  <c r="BZ37" i="84"/>
  <c r="BZ36" i="84"/>
  <c r="BZ35" i="84"/>
  <c r="BZ34" i="84"/>
  <c r="BZ33" i="84"/>
  <c r="BZ32" i="84"/>
  <c r="BZ31" i="84"/>
  <c r="BZ23" i="84"/>
  <c r="BZ22" i="84"/>
  <c r="BZ21" i="84"/>
  <c r="BZ20" i="84"/>
  <c r="BZ19" i="84"/>
  <c r="BZ18" i="84"/>
  <c r="BZ17" i="84"/>
  <c r="BZ16" i="84"/>
  <c r="BZ15" i="84"/>
  <c r="BZ14" i="84"/>
  <c r="BZ13" i="84"/>
  <c r="BZ12" i="84"/>
  <c r="BZ11" i="84"/>
  <c r="BZ10" i="84"/>
  <c r="BZ9" i="84"/>
  <c r="BZ8" i="84"/>
  <c r="Y4" i="58"/>
  <c r="H4" i="48"/>
  <c r="H4" i="47"/>
  <c r="J44" i="45"/>
  <c r="I44" i="45"/>
  <c r="J45" i="45"/>
  <c r="I45" i="45"/>
  <c r="AR15" i="58"/>
  <c r="AR16" i="58"/>
  <c r="AS14" i="58"/>
  <c r="AS17" i="58"/>
  <c r="AS18" i="58"/>
  <c r="AS16" i="58"/>
  <c r="J42" i="45"/>
  <c r="J41" i="45"/>
  <c r="I41" i="45"/>
  <c r="J43" i="45"/>
  <c r="I43" i="45"/>
  <c r="I42" i="45"/>
  <c r="H58" i="47" l="1"/>
  <c r="B5" i="45"/>
  <c r="O6" i="47"/>
  <c r="A195" i="82"/>
  <c r="B4" i="88"/>
  <c r="C4" i="121"/>
  <c r="C1" i="103"/>
  <c r="C4" i="103"/>
  <c r="E4" i="103"/>
  <c r="D4" i="103"/>
  <c r="A189" i="82"/>
  <c r="AG9" i="58" s="1"/>
  <c r="AL9" i="58" s="1"/>
  <c r="A126" i="82"/>
  <c r="A130" i="82"/>
  <c r="AB32" i="58"/>
  <c r="AH9" i="58"/>
  <c r="AB34" i="58"/>
  <c r="BZ5" i="84"/>
  <c r="BZ28" i="84"/>
  <c r="BZ65" i="84" s="1"/>
  <c r="BJ5" i="84"/>
  <c r="BJ28" i="84"/>
  <c r="BJ65" i="84" s="1"/>
  <c r="AT5" i="84"/>
  <c r="AT28" i="84"/>
  <c r="AT65" i="84" s="1"/>
  <c r="AJ9" i="58"/>
  <c r="AF9" i="58"/>
  <c r="E5" i="84"/>
  <c r="E28" i="84"/>
  <c r="CO67" i="84"/>
  <c r="B36" i="45"/>
  <c r="B28" i="48"/>
  <c r="J29" i="45"/>
  <c r="L25" i="48" s="1"/>
  <c r="H29" i="45"/>
  <c r="J51" i="47" s="1"/>
  <c r="G29" i="45"/>
  <c r="H51" i="47" s="1"/>
  <c r="D8" i="83"/>
  <c r="D19" i="83"/>
  <c r="D27" i="83"/>
  <c r="D35" i="83"/>
  <c r="D43" i="83"/>
  <c r="D7" i="83"/>
  <c r="D9" i="83"/>
  <c r="D20" i="83"/>
  <c r="D28" i="83"/>
  <c r="D36" i="83"/>
  <c r="D44" i="83"/>
  <c r="D52" i="83"/>
  <c r="D10" i="83"/>
  <c r="D21" i="83"/>
  <c r="D29" i="83"/>
  <c r="D37" i="83"/>
  <c r="D45" i="83"/>
  <c r="D53" i="83"/>
  <c r="D34" i="83"/>
  <c r="C1" i="83"/>
  <c r="D11" i="83"/>
  <c r="D22" i="83"/>
  <c r="D30" i="83"/>
  <c r="D46" i="83"/>
  <c r="C16" i="52"/>
  <c r="D50" i="83"/>
  <c r="C4" i="52"/>
  <c r="D39" i="83"/>
  <c r="D26" i="83"/>
  <c r="D5" i="83"/>
  <c r="D16" i="83"/>
  <c r="D24" i="83"/>
  <c r="D32" i="83"/>
  <c r="D40" i="83"/>
  <c r="D48" i="83"/>
  <c r="D18" i="83"/>
  <c r="D6" i="83"/>
  <c r="D17" i="83"/>
  <c r="D25" i="83"/>
  <c r="D33" i="83"/>
  <c r="D41" i="83"/>
  <c r="D49" i="83"/>
  <c r="D36" i="58"/>
  <c r="T36" i="58"/>
  <c r="BZ77" i="84"/>
  <c r="J36" i="45" s="1"/>
  <c r="H36" i="45"/>
  <c r="P9" i="47"/>
  <c r="P11" i="47" s="1"/>
  <c r="N45" i="58"/>
  <c r="O45" i="58" s="1"/>
  <c r="AX25" i="58"/>
  <c r="CO77" i="84"/>
  <c r="J32" i="48"/>
  <c r="H32" i="48"/>
  <c r="N42" i="58"/>
  <c r="O42" i="58" s="1"/>
  <c r="N43" i="58"/>
  <c r="O43" i="58" s="1"/>
  <c r="AT28" i="58"/>
  <c r="AK28" i="58" s="1"/>
  <c r="F39" i="58"/>
  <c r="AT17" i="58"/>
  <c r="AK17" i="58" s="1"/>
  <c r="AT22" i="58"/>
  <c r="AK22" i="58" s="1"/>
  <c r="AT21" i="58"/>
  <c r="AK21" i="58" s="1"/>
  <c r="N46" i="58"/>
  <c r="O46" i="58" s="1"/>
  <c r="U36" i="58"/>
  <c r="N44" i="58"/>
  <c r="O44" i="58" s="1"/>
  <c r="V36" i="58"/>
  <c r="E39" i="58" s="1"/>
  <c r="D39" i="58" s="1"/>
  <c r="AE39" i="58" s="1"/>
  <c r="F40" i="58"/>
  <c r="F36" i="58"/>
  <c r="F37" i="58"/>
  <c r="F38" i="58"/>
  <c r="AX17" i="58"/>
  <c r="AX21" i="58"/>
  <c r="AX29" i="58"/>
  <c r="AT29" i="58"/>
  <c r="AK29" i="58" s="1"/>
  <c r="AX23" i="58"/>
  <c r="AT20" i="58"/>
  <c r="AK20" i="58" s="1"/>
  <c r="AX20" i="58"/>
  <c r="AX24" i="58"/>
  <c r="AX28" i="58"/>
  <c r="AT25" i="58"/>
  <c r="AK25" i="58" s="1"/>
  <c r="J40" i="45"/>
  <c r="I40" i="45"/>
  <c r="AT30" i="58"/>
  <c r="AK30" i="58" s="1"/>
  <c r="AT18" i="58"/>
  <c r="AK18" i="58" s="1"/>
  <c r="AT31" i="58"/>
  <c r="AK31" i="58" s="1"/>
  <c r="AT19" i="58"/>
  <c r="AK19" i="58" s="1"/>
  <c r="AX18" i="58"/>
  <c r="AX22" i="58"/>
  <c r="AX26" i="58"/>
  <c r="AX30" i="58"/>
  <c r="AX19" i="58"/>
  <c r="AX27" i="58"/>
  <c r="AX31" i="58"/>
  <c r="AT23" i="58"/>
  <c r="AK23" i="58" s="1"/>
  <c r="AT27" i="58"/>
  <c r="AK27" i="58" s="1"/>
  <c r="AT26" i="58"/>
  <c r="AK26" i="58" s="1"/>
  <c r="AT24" i="58"/>
  <c r="AK24" i="58" s="1"/>
  <c r="D13" i="47"/>
  <c r="B47" i="48"/>
  <c r="D10" i="47"/>
  <c r="V15" i="96"/>
  <c r="O24" i="96"/>
  <c r="W15" i="96"/>
  <c r="O33" i="96"/>
  <c r="D12" i="49"/>
  <c r="E33" i="109"/>
  <c r="E11" i="109"/>
  <c r="E66" i="109"/>
  <c r="E55" i="109"/>
  <c r="E22" i="109"/>
  <c r="H3" i="47"/>
  <c r="E8" i="48"/>
  <c r="D64" i="109"/>
  <c r="F12" i="49"/>
  <c r="E24" i="48"/>
  <c r="AB9" i="58"/>
  <c r="G4" i="94"/>
  <c r="F4" i="94"/>
  <c r="J5" i="47"/>
  <c r="D3" i="44"/>
  <c r="L5" i="48"/>
  <c r="D62" i="109"/>
  <c r="D40" i="109"/>
  <c r="B4" i="100"/>
  <c r="C5" i="58"/>
  <c r="C4" i="83"/>
  <c r="D7" i="109"/>
  <c r="D51" i="109"/>
  <c r="D18" i="109"/>
  <c r="B6" i="58"/>
  <c r="B6" i="47"/>
  <c r="C6" i="49"/>
  <c r="J5" i="48"/>
  <c r="D53" i="109"/>
  <c r="D42" i="109"/>
  <c r="C14" i="83"/>
  <c r="D31" i="109"/>
  <c r="D20" i="109"/>
  <c r="L5" i="47"/>
  <c r="D6" i="48"/>
  <c r="AB5" i="58"/>
  <c r="AA4" i="58"/>
  <c r="J4" i="48"/>
  <c r="D5" i="47"/>
  <c r="J4" i="47"/>
  <c r="D5" i="48"/>
  <c r="C6" i="58"/>
  <c r="G3" i="47"/>
  <c r="G3" i="48"/>
  <c r="B32" i="48"/>
  <c r="Y3" i="58"/>
  <c r="E54" i="45"/>
  <c r="J4" i="45"/>
  <c r="D4" i="58"/>
  <c r="H3" i="48"/>
  <c r="B58" i="47"/>
  <c r="B30" i="48"/>
  <c r="B26" i="48"/>
  <c r="B52" i="47"/>
  <c r="AA3" i="58"/>
  <c r="J3" i="48"/>
  <c r="J3" i="47"/>
  <c r="J9" i="45"/>
  <c r="B1" i="58"/>
  <c r="H33" i="96"/>
  <c r="X33" i="96"/>
  <c r="B3" i="48"/>
  <c r="B3" i="47"/>
  <c r="C3" i="49"/>
  <c r="B3" i="58"/>
  <c r="W33" i="96"/>
  <c r="N33" i="96"/>
  <c r="G15" i="96"/>
  <c r="F24" i="96"/>
  <c r="O6" i="96"/>
  <c r="V6" i="96"/>
  <c r="E4" i="48"/>
  <c r="N15" i="96"/>
  <c r="V24" i="96"/>
  <c r="G12" i="49"/>
  <c r="B54" i="47"/>
  <c r="E4" i="47"/>
  <c r="E3" i="48"/>
  <c r="W24" i="96"/>
  <c r="F15" i="96"/>
  <c r="E3" i="47"/>
  <c r="O15" i="96"/>
  <c r="F33" i="96"/>
  <c r="D3" i="58"/>
  <c r="V33" i="96"/>
  <c r="W6" i="96"/>
  <c r="G24" i="96"/>
  <c r="N6" i="96"/>
  <c r="T33" i="96"/>
  <c r="L33" i="96"/>
  <c r="L24" i="96"/>
  <c r="L15" i="96"/>
  <c r="T6" i="96"/>
  <c r="T24" i="96"/>
  <c r="D24" i="96"/>
  <c r="D15" i="96"/>
  <c r="L6" i="96"/>
  <c r="T15" i="96"/>
  <c r="D33" i="96"/>
  <c r="E5" i="48"/>
  <c r="B19" i="104"/>
  <c r="D5" i="58"/>
  <c r="B5" i="58"/>
  <c r="B5" i="48"/>
  <c r="B5" i="47"/>
  <c r="P33" i="96"/>
  <c r="X24" i="96"/>
  <c r="D22" i="109"/>
  <c r="P6" i="96"/>
  <c r="X15" i="96"/>
  <c r="H15" i="96"/>
  <c r="D55" i="109"/>
  <c r="AD3" i="58"/>
  <c r="AM3" i="58" s="1"/>
  <c r="H24" i="96"/>
  <c r="D44" i="109"/>
  <c r="D33" i="109"/>
  <c r="P15" i="96"/>
  <c r="D66" i="109"/>
  <c r="P24" i="96"/>
  <c r="X6" i="96"/>
  <c r="H10" i="96"/>
  <c r="AM10" i="96" s="1"/>
  <c r="G10" i="96"/>
  <c r="AL10" i="96" s="1"/>
  <c r="C9" i="96"/>
  <c r="AH9" i="96" s="1"/>
  <c r="H8" i="96"/>
  <c r="AM8" i="96" s="1"/>
  <c r="B10" i="96"/>
  <c r="AG10" i="96" s="1"/>
  <c r="D10" i="96"/>
  <c r="AI10" i="96" s="1"/>
  <c r="F12" i="96"/>
  <c r="AK12" i="96" s="1"/>
  <c r="D8" i="96"/>
  <c r="AI8" i="96" s="1"/>
  <c r="G8" i="96"/>
  <c r="AL8" i="96" s="1"/>
  <c r="E8" i="96"/>
  <c r="AJ8" i="96" s="1"/>
  <c r="C12" i="96"/>
  <c r="AH12" i="96" s="1"/>
  <c r="B12" i="96"/>
  <c r="AG12" i="96" s="1"/>
  <c r="D9" i="96"/>
  <c r="AI9" i="96" s="1"/>
  <c r="G12" i="96"/>
  <c r="AL12" i="96" s="1"/>
  <c r="B7" i="96"/>
  <c r="AG7" i="96" s="1"/>
  <c r="C10" i="96"/>
  <c r="AH10" i="96" s="1"/>
  <c r="E10" i="96"/>
  <c r="AJ10" i="96" s="1"/>
  <c r="D11" i="96"/>
  <c r="AI11" i="96" s="1"/>
  <c r="G7" i="96"/>
  <c r="AL7" i="96" s="1"/>
  <c r="F11" i="96"/>
  <c r="AK11" i="96" s="1"/>
  <c r="F10" i="96"/>
  <c r="AK10" i="96" s="1"/>
  <c r="G11" i="96"/>
  <c r="AL11" i="96" s="1"/>
  <c r="C7" i="96"/>
  <c r="AH7" i="96" s="1"/>
  <c r="H11" i="96"/>
  <c r="AM11" i="96" s="1"/>
  <c r="F9" i="96"/>
  <c r="AK9" i="96" s="1"/>
  <c r="G9" i="96"/>
  <c r="AL9" i="96" s="1"/>
  <c r="H9" i="96"/>
  <c r="AM9" i="96" s="1"/>
  <c r="D12" i="96"/>
  <c r="AI12" i="96" s="1"/>
  <c r="D7" i="96"/>
  <c r="AI7" i="96" s="1"/>
  <c r="E12" i="96"/>
  <c r="AJ12" i="96" s="1"/>
  <c r="H12" i="96"/>
  <c r="AM12" i="96" s="1"/>
  <c r="B11" i="96"/>
  <c r="AG11" i="96" s="1"/>
  <c r="F8" i="96"/>
  <c r="AK8" i="96" s="1"/>
  <c r="B9" i="96"/>
  <c r="AG9" i="96" s="1"/>
  <c r="E7" i="96"/>
  <c r="AJ7" i="96" s="1"/>
  <c r="E11" i="96"/>
  <c r="AJ11" i="96" s="1"/>
  <c r="J5" i="96"/>
  <c r="F7" i="96"/>
  <c r="AK7" i="96" s="1"/>
  <c r="E9" i="96"/>
  <c r="AJ9" i="96" s="1"/>
  <c r="H7" i="96"/>
  <c r="AM7" i="96" s="1"/>
  <c r="B8" i="96"/>
  <c r="AG8" i="96" s="1"/>
  <c r="C11" i="96"/>
  <c r="AH11" i="96" s="1"/>
  <c r="C8" i="96"/>
  <c r="AH8" i="96" s="1"/>
  <c r="B24" i="96"/>
  <c r="J24" i="96"/>
  <c r="J15" i="96"/>
  <c r="B15" i="96"/>
  <c r="R15" i="96"/>
  <c r="J6" i="96"/>
  <c r="R33" i="96"/>
  <c r="R6" i="96"/>
  <c r="J33" i="96"/>
  <c r="B33" i="96"/>
  <c r="R24" i="96"/>
  <c r="K33" i="96"/>
  <c r="S33" i="96"/>
  <c r="K6" i="96"/>
  <c r="C24" i="96"/>
  <c r="C15" i="96"/>
  <c r="K15" i="96"/>
  <c r="S15" i="96"/>
  <c r="K24" i="96"/>
  <c r="S24" i="96"/>
  <c r="S6" i="96"/>
  <c r="U6" i="96"/>
  <c r="M15" i="96"/>
  <c r="M33" i="96"/>
  <c r="E33" i="96"/>
  <c r="E24" i="96"/>
  <c r="M24" i="96"/>
  <c r="U24" i="96"/>
  <c r="U15" i="96"/>
  <c r="U33" i="96"/>
  <c r="E15" i="96"/>
  <c r="M6" i="96"/>
  <c r="B4" i="58" l="1"/>
  <c r="C4" i="49"/>
  <c r="B4" i="48"/>
  <c r="AO26" i="58"/>
  <c r="AE36" i="58"/>
  <c r="L58" i="47"/>
  <c r="L32" i="48"/>
  <c r="AL27" i="58"/>
  <c r="AL23" i="58"/>
  <c r="AL21" i="58"/>
  <c r="AL24" i="58"/>
  <c r="AL28" i="58"/>
  <c r="AL17" i="58"/>
  <c r="AL26" i="58"/>
  <c r="AL19" i="58"/>
  <c r="AL18" i="58"/>
  <c r="AL30" i="58"/>
  <c r="AL22" i="58"/>
  <c r="AL29" i="58"/>
  <c r="AL25" i="58"/>
  <c r="AL20" i="58"/>
  <c r="AL31" i="58"/>
  <c r="AD25" i="58"/>
  <c r="AD30" i="58"/>
  <c r="AD26" i="58"/>
  <c r="AD29" i="58"/>
  <c r="AD21" i="58"/>
  <c r="AD22" i="58"/>
  <c r="AD17" i="58"/>
  <c r="AD28" i="58"/>
  <c r="AD27" i="58"/>
  <c r="AD19" i="58"/>
  <c r="AD31" i="58"/>
  <c r="AD18" i="58"/>
  <c r="AD20" i="58"/>
  <c r="AD24" i="58"/>
  <c r="AD23" i="58"/>
  <c r="B4" i="47"/>
  <c r="J25" i="48"/>
  <c r="W36" i="58"/>
  <c r="E52" i="58" s="1"/>
  <c r="AK36" i="58"/>
  <c r="X36" i="58" s="1"/>
  <c r="AZ32" i="58"/>
  <c r="E40" i="58"/>
  <c r="E50" i="58"/>
  <c r="E38" i="58"/>
  <c r="AO29" i="58"/>
  <c r="AK39" i="58"/>
  <c r="AZ36" i="58"/>
  <c r="E37" i="58"/>
  <c r="E43" i="58"/>
  <c r="L51" i="47"/>
  <c r="H25" i="48"/>
  <c r="L3" i="48"/>
  <c r="E53" i="48" s="1"/>
  <c r="AB3" i="58"/>
  <c r="L3" i="47"/>
  <c r="M10" i="96"/>
  <c r="AR10" i="96" s="1"/>
  <c r="O7" i="96"/>
  <c r="AT7" i="96" s="1"/>
  <c r="N7" i="96"/>
  <c r="AS7" i="96" s="1"/>
  <c r="N12" i="96"/>
  <c r="AS12" i="96" s="1"/>
  <c r="P9" i="96"/>
  <c r="AU9" i="96" s="1"/>
  <c r="P10" i="96"/>
  <c r="AU10" i="96" s="1"/>
  <c r="N10" i="96"/>
  <c r="AS10" i="96" s="1"/>
  <c r="L8" i="96"/>
  <c r="AQ8" i="96" s="1"/>
  <c r="P8" i="96"/>
  <c r="AU8" i="96" s="1"/>
  <c r="N11" i="96"/>
  <c r="AS11" i="96" s="1"/>
  <c r="L7" i="96"/>
  <c r="AQ7" i="96" s="1"/>
  <c r="L10" i="96"/>
  <c r="AQ10" i="96" s="1"/>
  <c r="R5" i="96"/>
  <c r="O8" i="96"/>
  <c r="AT8" i="96" s="1"/>
  <c r="P12" i="96"/>
  <c r="AU12" i="96" s="1"/>
  <c r="N8" i="96"/>
  <c r="AS8" i="96" s="1"/>
  <c r="O11" i="96"/>
  <c r="AT11" i="96" s="1"/>
  <c r="K7" i="96"/>
  <c r="AP7" i="96" s="1"/>
  <c r="J9" i="96"/>
  <c r="AO9" i="96" s="1"/>
  <c r="L9" i="96"/>
  <c r="AQ9" i="96" s="1"/>
  <c r="M12" i="96"/>
  <c r="AR12" i="96" s="1"/>
  <c r="K12" i="96"/>
  <c r="AP12" i="96" s="1"/>
  <c r="N9" i="96"/>
  <c r="AS9" i="96" s="1"/>
  <c r="J8" i="96"/>
  <c r="AO8" i="96" s="1"/>
  <c r="J11" i="96"/>
  <c r="AO11" i="96" s="1"/>
  <c r="K11" i="96"/>
  <c r="AP11" i="96" s="1"/>
  <c r="K9" i="96"/>
  <c r="AP9" i="96" s="1"/>
  <c r="O12" i="96"/>
  <c r="AT12" i="96" s="1"/>
  <c r="M8" i="96"/>
  <c r="AR8" i="96" s="1"/>
  <c r="J7" i="96"/>
  <c r="AO7" i="96" s="1"/>
  <c r="L12" i="96"/>
  <c r="AQ12" i="96" s="1"/>
  <c r="J12" i="96"/>
  <c r="AO12" i="96" s="1"/>
  <c r="P7" i="96"/>
  <c r="AU7" i="96" s="1"/>
  <c r="L11" i="96"/>
  <c r="AQ11" i="96" s="1"/>
  <c r="K10" i="96"/>
  <c r="AP10" i="96" s="1"/>
  <c r="K8" i="96"/>
  <c r="AP8" i="96" s="1"/>
  <c r="O10" i="96"/>
  <c r="AT10" i="96" s="1"/>
  <c r="O9" i="96"/>
  <c r="AT9" i="96" s="1"/>
  <c r="M11" i="96"/>
  <c r="AR11" i="96" s="1"/>
  <c r="M7" i="96"/>
  <c r="AR7" i="96" s="1"/>
  <c r="J10" i="96"/>
  <c r="AO10" i="96" s="1"/>
  <c r="M9" i="96"/>
  <c r="AR9" i="96" s="1"/>
  <c r="P11" i="96"/>
  <c r="AU11" i="96" s="1"/>
  <c r="AQ16" i="58" l="1"/>
  <c r="AT16" i="58" s="1"/>
  <c r="AK16" i="58" s="1"/>
  <c r="AL16" i="58" s="1"/>
  <c r="X39" i="58"/>
  <c r="AS11" i="58" s="1"/>
  <c r="AZ24" i="58"/>
  <c r="AZ27" i="58"/>
  <c r="AF25" i="58"/>
  <c r="AZ25" i="58" s="1"/>
  <c r="AG25" i="58"/>
  <c r="AJ25" i="58" s="1"/>
  <c r="AG20" i="58"/>
  <c r="AJ20" i="58" s="1"/>
  <c r="AF20" i="58"/>
  <c r="AZ20" i="58" s="1"/>
  <c r="AG28" i="58"/>
  <c r="AJ28" i="58" s="1"/>
  <c r="AF28" i="58"/>
  <c r="AZ28" i="58" s="1"/>
  <c r="AF29" i="58"/>
  <c r="AZ29" i="58" s="1"/>
  <c r="AG29" i="58"/>
  <c r="AJ29" i="58" s="1"/>
  <c r="AF23" i="58"/>
  <c r="AZ23" i="58" s="1"/>
  <c r="AG23" i="58"/>
  <c r="AJ23" i="58" s="1"/>
  <c r="AG24" i="58"/>
  <c r="AJ24" i="58" s="1"/>
  <c r="AF24" i="58"/>
  <c r="AG21" i="58"/>
  <c r="AJ21" i="58" s="1"/>
  <c r="AF21" i="58"/>
  <c r="AZ21" i="58" s="1"/>
  <c r="AG31" i="58"/>
  <c r="AJ31" i="58" s="1"/>
  <c r="AF31" i="58"/>
  <c r="AG27" i="58"/>
  <c r="AF27" i="58"/>
  <c r="AG17" i="58"/>
  <c r="AJ17" i="58" s="1"/>
  <c r="AF17" i="58"/>
  <c r="AZ17" i="58" s="1"/>
  <c r="AG22" i="58"/>
  <c r="AJ22" i="58" s="1"/>
  <c r="AF22" i="58"/>
  <c r="AZ22" i="58" s="1"/>
  <c r="AG18" i="58"/>
  <c r="AJ18" i="58" s="1"/>
  <c r="AF18" i="58"/>
  <c r="AZ18" i="58" s="1"/>
  <c r="AG19" i="58"/>
  <c r="AJ19" i="58" s="1"/>
  <c r="AF19" i="58"/>
  <c r="AZ19" i="58" s="1"/>
  <c r="AG26" i="58"/>
  <c r="AJ26" i="58" s="1"/>
  <c r="AF26" i="58"/>
  <c r="AZ26" i="58" s="1"/>
  <c r="AG30" i="58"/>
  <c r="AJ30" i="58" s="1"/>
  <c r="AF30" i="58"/>
  <c r="AZ30" i="58" s="1"/>
  <c r="Y36" i="58"/>
  <c r="D40" i="58"/>
  <c r="AE40" i="58" s="1"/>
  <c r="D38" i="58"/>
  <c r="AE38" i="58" s="1"/>
  <c r="Y39" i="58"/>
  <c r="AU16" i="58" s="1"/>
  <c r="AX16" i="58" s="1"/>
  <c r="D37" i="58"/>
  <c r="AE37" i="58" s="1"/>
  <c r="W11" i="96"/>
  <c r="BB11" i="96" s="1"/>
  <c r="W10" i="96"/>
  <c r="BB10" i="96" s="1"/>
  <c r="X7" i="96"/>
  <c r="BC7" i="96" s="1"/>
  <c r="X12" i="96"/>
  <c r="BC12" i="96" s="1"/>
  <c r="S9" i="96"/>
  <c r="AX9" i="96" s="1"/>
  <c r="V10" i="96"/>
  <c r="BA10" i="96" s="1"/>
  <c r="X11" i="96"/>
  <c r="BC11" i="96" s="1"/>
  <c r="V12" i="96"/>
  <c r="BA12" i="96" s="1"/>
  <c r="S8" i="96"/>
  <c r="AX8" i="96" s="1"/>
  <c r="R11" i="96"/>
  <c r="AW11" i="96" s="1"/>
  <c r="T12" i="96"/>
  <c r="AY12" i="96" s="1"/>
  <c r="V9" i="96"/>
  <c r="BA9" i="96" s="1"/>
  <c r="V7" i="96"/>
  <c r="BA7" i="96" s="1"/>
  <c r="V8" i="96"/>
  <c r="BA8" i="96" s="1"/>
  <c r="U7" i="96"/>
  <c r="AZ7" i="96" s="1"/>
  <c r="T10" i="96"/>
  <c r="AY10" i="96" s="1"/>
  <c r="R10" i="96"/>
  <c r="AW10" i="96" s="1"/>
  <c r="S11" i="96"/>
  <c r="AX11" i="96" s="1"/>
  <c r="U12" i="96"/>
  <c r="AZ12" i="96" s="1"/>
  <c r="U9" i="96"/>
  <c r="AZ9" i="96" s="1"/>
  <c r="T11" i="96"/>
  <c r="AY11" i="96" s="1"/>
  <c r="T7" i="96"/>
  <c r="AY7" i="96" s="1"/>
  <c r="R7" i="96"/>
  <c r="AW7" i="96" s="1"/>
  <c r="T9" i="96"/>
  <c r="AY9" i="96" s="1"/>
  <c r="W8" i="96"/>
  <c r="BB8" i="96" s="1"/>
  <c r="T8" i="96"/>
  <c r="AY8" i="96" s="1"/>
  <c r="U10" i="96"/>
  <c r="AZ10" i="96" s="1"/>
  <c r="R9" i="96"/>
  <c r="AW9" i="96" s="1"/>
  <c r="S12" i="96"/>
  <c r="AX12" i="96" s="1"/>
  <c r="U8" i="96"/>
  <c r="AZ8" i="96" s="1"/>
  <c r="B14" i="96"/>
  <c r="X8" i="96"/>
  <c r="BC8" i="96" s="1"/>
  <c r="U11" i="96"/>
  <c r="AZ11" i="96" s="1"/>
  <c r="W12" i="96"/>
  <c r="BB12" i="96" s="1"/>
  <c r="S10" i="96"/>
  <c r="AX10" i="96" s="1"/>
  <c r="W9" i="96"/>
  <c r="BB9" i="96" s="1"/>
  <c r="W7" i="96"/>
  <c r="BB7" i="96" s="1"/>
  <c r="X9" i="96"/>
  <c r="BC9" i="96" s="1"/>
  <c r="R8" i="96"/>
  <c r="AW8" i="96" s="1"/>
  <c r="R12" i="96"/>
  <c r="AW12" i="96" s="1"/>
  <c r="X10" i="96"/>
  <c r="BC10" i="96" s="1"/>
  <c r="S7" i="96"/>
  <c r="AX7" i="96" s="1"/>
  <c r="V11" i="96"/>
  <c r="BA11" i="96" s="1"/>
  <c r="AW11" i="58" l="1"/>
  <c r="AI31" i="58"/>
  <c r="AI20" i="58"/>
  <c r="AI29" i="58"/>
  <c r="AI18" i="58"/>
  <c r="AI25" i="58"/>
  <c r="AI26" i="58"/>
  <c r="AI17" i="58"/>
  <c r="AI23" i="58"/>
  <c r="AI28" i="58"/>
  <c r="AI22" i="58"/>
  <c r="AJ27" i="58"/>
  <c r="AI27" i="58"/>
  <c r="AI30" i="58"/>
  <c r="AI19" i="58"/>
  <c r="AD16" i="58"/>
  <c r="AI24" i="58"/>
  <c r="AI21" i="58"/>
  <c r="AO30" i="58"/>
  <c r="AK40" i="58"/>
  <c r="X40" i="58" s="1"/>
  <c r="AZ37" i="58"/>
  <c r="AO28" i="58"/>
  <c r="AK38" i="58"/>
  <c r="X38" i="58" s="1"/>
  <c r="AZ34" i="58"/>
  <c r="AO27" i="58"/>
  <c r="AZ33" i="58"/>
  <c r="AK37" i="58"/>
  <c r="X37" i="58" s="1"/>
  <c r="E20" i="96"/>
  <c r="AJ20" i="96" s="1"/>
  <c r="F21" i="96"/>
  <c r="AK21" i="96" s="1"/>
  <c r="H16" i="96"/>
  <c r="AM16" i="96" s="1"/>
  <c r="B17" i="96"/>
  <c r="AG17" i="96" s="1"/>
  <c r="E17" i="96"/>
  <c r="AJ17" i="96" s="1"/>
  <c r="D19" i="96"/>
  <c r="AI19" i="96" s="1"/>
  <c r="C21" i="96"/>
  <c r="AH21" i="96" s="1"/>
  <c r="B19" i="96"/>
  <c r="AG19" i="96" s="1"/>
  <c r="D21" i="96"/>
  <c r="AI21" i="96" s="1"/>
  <c r="C17" i="96"/>
  <c r="AH17" i="96" s="1"/>
  <c r="B21" i="96"/>
  <c r="AG21" i="96" s="1"/>
  <c r="B16" i="96"/>
  <c r="AG16" i="96" s="1"/>
  <c r="F20" i="96"/>
  <c r="AK20" i="96" s="1"/>
  <c r="H19" i="96"/>
  <c r="AM19" i="96" s="1"/>
  <c r="J14" i="96"/>
  <c r="G19" i="96"/>
  <c r="AL19" i="96" s="1"/>
  <c r="E18" i="96"/>
  <c r="AJ18" i="96" s="1"/>
  <c r="F19" i="96"/>
  <c r="AK19" i="96" s="1"/>
  <c r="D17" i="96"/>
  <c r="AI17" i="96" s="1"/>
  <c r="F16" i="96"/>
  <c r="AK16" i="96" s="1"/>
  <c r="B18" i="96"/>
  <c r="AG18" i="96" s="1"/>
  <c r="D18" i="96"/>
  <c r="AI18" i="96" s="1"/>
  <c r="G16" i="96"/>
  <c r="AL16" i="96" s="1"/>
  <c r="G17" i="96"/>
  <c r="AL17" i="96" s="1"/>
  <c r="H21" i="96"/>
  <c r="AM21" i="96" s="1"/>
  <c r="C19" i="96"/>
  <c r="AH19" i="96" s="1"/>
  <c r="H18" i="96"/>
  <c r="AM18" i="96" s="1"/>
  <c r="E21" i="96"/>
  <c r="AJ21" i="96" s="1"/>
  <c r="G18" i="96"/>
  <c r="AL18" i="96" s="1"/>
  <c r="G20" i="96"/>
  <c r="AL20" i="96" s="1"/>
  <c r="C20" i="96"/>
  <c r="AH20" i="96" s="1"/>
  <c r="H17" i="96"/>
  <c r="AM17" i="96" s="1"/>
  <c r="D16" i="96"/>
  <c r="AI16" i="96" s="1"/>
  <c r="E19" i="96"/>
  <c r="AJ19" i="96" s="1"/>
  <c r="D20" i="96"/>
  <c r="AI20" i="96" s="1"/>
  <c r="E16" i="96"/>
  <c r="AJ16" i="96" s="1"/>
  <c r="H20" i="96"/>
  <c r="AM20" i="96" s="1"/>
  <c r="G21" i="96"/>
  <c r="AL21" i="96" s="1"/>
  <c r="C18" i="96"/>
  <c r="AH18" i="96" s="1"/>
  <c r="F17" i="96"/>
  <c r="AK17" i="96" s="1"/>
  <c r="F18" i="96"/>
  <c r="AK18" i="96" s="1"/>
  <c r="B20" i="96"/>
  <c r="AG20" i="96" s="1"/>
  <c r="C16" i="96"/>
  <c r="AH16" i="96" s="1"/>
  <c r="AS12" i="58" l="1"/>
  <c r="AS13" i="58"/>
  <c r="AR14" i="58"/>
  <c r="AR13" i="58"/>
  <c r="AF16" i="58"/>
  <c r="AZ16" i="58" s="1"/>
  <c r="AG16" i="58"/>
  <c r="AJ16" i="58" s="1"/>
  <c r="Y40" i="58"/>
  <c r="AQ12" i="58"/>
  <c r="AQ13" i="58"/>
  <c r="AS15" i="58"/>
  <c r="AQ11" i="58"/>
  <c r="AQ14" i="58"/>
  <c r="AQ15" i="58"/>
  <c r="Y38" i="58"/>
  <c r="Y37" i="58"/>
  <c r="AR12" i="58"/>
  <c r="AR11" i="58"/>
  <c r="AP7" i="58" a="1"/>
  <c r="AP7" i="58" s="1"/>
  <c r="AP26" i="58" a="1"/>
  <c r="AP26" i="58" s="1"/>
  <c r="AP25" i="58" a="1"/>
  <c r="AP25" i="58" s="1"/>
  <c r="AP3" i="58" a="1"/>
  <c r="AP3" i="58" s="1"/>
  <c r="AP10" i="58" a="1"/>
  <c r="AP10" i="58" s="1"/>
  <c r="AP24" i="58" a="1"/>
  <c r="AP24" i="58" s="1"/>
  <c r="AP28" i="58" a="1"/>
  <c r="AP28" i="58" s="1"/>
  <c r="AP29" i="58" a="1"/>
  <c r="AP29" i="58" s="1"/>
  <c r="AP21" i="58" a="1"/>
  <c r="AP21" i="58" s="1"/>
  <c r="AP15" i="58" a="1"/>
  <c r="AP15" i="58" s="1"/>
  <c r="AP31" i="58" a="1"/>
  <c r="AP31" i="58" s="1"/>
  <c r="AP17" i="58" a="1"/>
  <c r="AP17" i="58" s="1"/>
  <c r="AP4" i="58" a="1"/>
  <c r="AP4" i="58" s="1"/>
  <c r="AP12" i="58" a="1"/>
  <c r="AP12" i="58" s="1"/>
  <c r="AP8" i="58" a="1"/>
  <c r="AP8" i="58" s="1"/>
  <c r="AP27" i="58" a="1"/>
  <c r="AP27" i="58" s="1"/>
  <c r="AP18" i="58" a="1"/>
  <c r="AP18" i="58" s="1"/>
  <c r="AP9" i="58" a="1"/>
  <c r="AP9" i="58" s="1"/>
  <c r="AP30" i="58" a="1"/>
  <c r="AP30" i="58" s="1"/>
  <c r="AP6" i="58" a="1"/>
  <c r="AP6" i="58" s="1"/>
  <c r="AP22" i="58" a="1"/>
  <c r="AP22" i="58" s="1"/>
  <c r="AP13" i="58" a="1"/>
  <c r="AP13" i="58" s="1"/>
  <c r="AP16" i="58" a="1"/>
  <c r="AP16" i="58" s="1"/>
  <c r="AP14" i="58" a="1"/>
  <c r="AP14" i="58" s="1"/>
  <c r="AP5" i="58" a="1"/>
  <c r="AP5" i="58" s="1"/>
  <c r="AP11" i="58" a="1"/>
  <c r="AP11" i="58" s="1"/>
  <c r="AP20" i="58" a="1"/>
  <c r="AP20" i="58" s="1"/>
  <c r="AP23" i="58" a="1"/>
  <c r="AP23" i="58" s="1"/>
  <c r="AP19" i="58" a="1"/>
  <c r="AP19" i="58" s="1"/>
  <c r="AP2" i="58" a="1"/>
  <c r="AP2" i="58" s="1"/>
  <c r="M19" i="96"/>
  <c r="AR19" i="96" s="1"/>
  <c r="J20" i="96"/>
  <c r="AO20" i="96" s="1"/>
  <c r="M21" i="96"/>
  <c r="AR21" i="96" s="1"/>
  <c r="K18" i="96"/>
  <c r="AP18" i="96" s="1"/>
  <c r="L19" i="96"/>
  <c r="AQ19" i="96" s="1"/>
  <c r="K19" i="96"/>
  <c r="AP19" i="96" s="1"/>
  <c r="O16" i="96"/>
  <c r="AT16" i="96" s="1"/>
  <c r="O20" i="96"/>
  <c r="AT20" i="96" s="1"/>
  <c r="N17" i="96"/>
  <c r="AS17" i="96" s="1"/>
  <c r="P20" i="96"/>
  <c r="AU20" i="96" s="1"/>
  <c r="N16" i="96"/>
  <c r="AS16" i="96" s="1"/>
  <c r="J21" i="96"/>
  <c r="AO21" i="96" s="1"/>
  <c r="J18" i="96"/>
  <c r="AO18" i="96" s="1"/>
  <c r="J19" i="96"/>
  <c r="AO19" i="96" s="1"/>
  <c r="O19" i="96"/>
  <c r="AT19" i="96" s="1"/>
  <c r="L21" i="96"/>
  <c r="AQ21" i="96" s="1"/>
  <c r="L20" i="96"/>
  <c r="AQ20" i="96" s="1"/>
  <c r="L16" i="96"/>
  <c r="AQ16" i="96" s="1"/>
  <c r="O18" i="96"/>
  <c r="AT18" i="96" s="1"/>
  <c r="P17" i="96"/>
  <c r="AU17" i="96" s="1"/>
  <c r="M16" i="96"/>
  <c r="AR16" i="96" s="1"/>
  <c r="N21" i="96"/>
  <c r="AS21" i="96" s="1"/>
  <c r="N19" i="96"/>
  <c r="AS19" i="96" s="1"/>
  <c r="M17" i="96"/>
  <c r="AR17" i="96" s="1"/>
  <c r="P18" i="96"/>
  <c r="AU18" i="96" s="1"/>
  <c r="K20" i="96"/>
  <c r="AP20" i="96" s="1"/>
  <c r="R14" i="96"/>
  <c r="J16" i="96"/>
  <c r="AO16" i="96" s="1"/>
  <c r="L18" i="96"/>
  <c r="AQ18" i="96" s="1"/>
  <c r="K16" i="96"/>
  <c r="AP16" i="96" s="1"/>
  <c r="O17" i="96"/>
  <c r="AT17" i="96" s="1"/>
  <c r="J17" i="96"/>
  <c r="AO17" i="96" s="1"/>
  <c r="P19" i="96"/>
  <c r="AU19" i="96" s="1"/>
  <c r="K21" i="96"/>
  <c r="AP21" i="96" s="1"/>
  <c r="N18" i="96"/>
  <c r="AS18" i="96" s="1"/>
  <c r="N20" i="96"/>
  <c r="AS20" i="96" s="1"/>
  <c r="P21" i="96"/>
  <c r="AU21" i="96" s="1"/>
  <c r="O21" i="96"/>
  <c r="AT21" i="96" s="1"/>
  <c r="K17" i="96"/>
  <c r="AP17" i="96" s="1"/>
  <c r="M18" i="96"/>
  <c r="AR18" i="96" s="1"/>
  <c r="M20" i="96"/>
  <c r="AR20" i="96" s="1"/>
  <c r="P16" i="96"/>
  <c r="AU16" i="96" s="1"/>
  <c r="L17" i="96"/>
  <c r="AQ17" i="96" s="1"/>
  <c r="AT11" i="58" l="1"/>
  <c r="AW12" i="58"/>
  <c r="AW13" i="58"/>
  <c r="AT14" i="58"/>
  <c r="AK14" i="58" s="1"/>
  <c r="AL14" i="58" s="1"/>
  <c r="AT13" i="58"/>
  <c r="AK13" i="58" s="1"/>
  <c r="AL13" i="58" s="1"/>
  <c r="AV14" i="58"/>
  <c r="AV13" i="58"/>
  <c r="AI16" i="58"/>
  <c r="AU13" i="58"/>
  <c r="AW15" i="58"/>
  <c r="AU11" i="58"/>
  <c r="AU12" i="58"/>
  <c r="AT12" i="58"/>
  <c r="AK12" i="58" s="1"/>
  <c r="AT15" i="58"/>
  <c r="AK15" i="58" s="1"/>
  <c r="AU14" i="58"/>
  <c r="AU15" i="58"/>
  <c r="AV11" i="58"/>
  <c r="AV12" i="58"/>
  <c r="X20" i="96"/>
  <c r="BC20" i="96" s="1"/>
  <c r="V17" i="96"/>
  <c r="BA17" i="96" s="1"/>
  <c r="R21" i="96"/>
  <c r="AW21" i="96" s="1"/>
  <c r="V18" i="96"/>
  <c r="BA18" i="96" s="1"/>
  <c r="T17" i="96"/>
  <c r="AY17" i="96" s="1"/>
  <c r="V16" i="96"/>
  <c r="BA16" i="96" s="1"/>
  <c r="X16" i="96"/>
  <c r="BC16" i="96" s="1"/>
  <c r="U16" i="96"/>
  <c r="AZ16" i="96" s="1"/>
  <c r="U19" i="96"/>
  <c r="AZ19" i="96" s="1"/>
  <c r="W17" i="96"/>
  <c r="BB17" i="96" s="1"/>
  <c r="X19" i="96"/>
  <c r="BC19" i="96" s="1"/>
  <c r="X21" i="96"/>
  <c r="BC21" i="96" s="1"/>
  <c r="V19" i="96"/>
  <c r="BA19" i="96" s="1"/>
  <c r="R18" i="96"/>
  <c r="AW18" i="96" s="1"/>
  <c r="R17" i="96"/>
  <c r="AW17" i="96" s="1"/>
  <c r="U17" i="96"/>
  <c r="AZ17" i="96" s="1"/>
  <c r="R16" i="96"/>
  <c r="AW16" i="96" s="1"/>
  <c r="U21" i="96"/>
  <c r="AZ21" i="96" s="1"/>
  <c r="V21" i="96"/>
  <c r="BA21" i="96" s="1"/>
  <c r="B23" i="96"/>
  <c r="W16" i="96"/>
  <c r="BB16" i="96" s="1"/>
  <c r="V20" i="96"/>
  <c r="BA20" i="96" s="1"/>
  <c r="T19" i="96"/>
  <c r="AY19" i="96" s="1"/>
  <c r="S18" i="96"/>
  <c r="AX18" i="96" s="1"/>
  <c r="T16" i="96"/>
  <c r="AY16" i="96" s="1"/>
  <c r="R19" i="96"/>
  <c r="AW19" i="96" s="1"/>
  <c r="W20" i="96"/>
  <c r="BB20" i="96" s="1"/>
  <c r="U18" i="96"/>
  <c r="AZ18" i="96" s="1"/>
  <c r="W19" i="96"/>
  <c r="BB19" i="96" s="1"/>
  <c r="X17" i="96"/>
  <c r="BC17" i="96" s="1"/>
  <c r="S19" i="96"/>
  <c r="AX19" i="96" s="1"/>
  <c r="R20" i="96"/>
  <c r="AW20" i="96" s="1"/>
  <c r="S17" i="96"/>
  <c r="AX17" i="96" s="1"/>
  <c r="W18" i="96"/>
  <c r="BB18" i="96" s="1"/>
  <c r="S16" i="96"/>
  <c r="AX16" i="96" s="1"/>
  <c r="U20" i="96"/>
  <c r="AZ20" i="96" s="1"/>
  <c r="T21" i="96"/>
  <c r="AY21" i="96" s="1"/>
  <c r="S21" i="96"/>
  <c r="AX21" i="96" s="1"/>
  <c r="T20" i="96"/>
  <c r="AY20" i="96" s="1"/>
  <c r="W21" i="96"/>
  <c r="BB21" i="96" s="1"/>
  <c r="X18" i="96"/>
  <c r="BC18" i="96" s="1"/>
  <c r="S20" i="96"/>
  <c r="AX20" i="96" s="1"/>
  <c r="T18" i="96"/>
  <c r="AY18" i="96" s="1"/>
  <c r="AX14" i="58" l="1"/>
  <c r="AE14" i="58" s="1"/>
  <c r="AX13" i="58"/>
  <c r="AE13" i="58" s="1"/>
  <c r="AL15" i="58"/>
  <c r="AL12" i="58"/>
  <c r="AH13" i="58"/>
  <c r="AX15" i="58"/>
  <c r="AX11" i="58"/>
  <c r="AE11" i="58" s="1"/>
  <c r="AX12" i="58"/>
  <c r="AE12" i="58" s="1"/>
  <c r="C27" i="96"/>
  <c r="AH27" i="96" s="1"/>
  <c r="D30" i="96"/>
  <c r="AI30" i="96" s="1"/>
  <c r="C30" i="96"/>
  <c r="AH30" i="96" s="1"/>
  <c r="B26" i="96"/>
  <c r="AG26" i="96" s="1"/>
  <c r="D28" i="96"/>
  <c r="AI28" i="96" s="1"/>
  <c r="E27" i="96"/>
  <c r="AJ27" i="96" s="1"/>
  <c r="G25" i="96"/>
  <c r="AL25" i="96" s="1"/>
  <c r="E26" i="96"/>
  <c r="AJ26" i="96" s="1"/>
  <c r="D25" i="96"/>
  <c r="AI25" i="96" s="1"/>
  <c r="B30" i="96"/>
  <c r="AG30" i="96" s="1"/>
  <c r="F26" i="96"/>
  <c r="AK26" i="96" s="1"/>
  <c r="D29" i="96"/>
  <c r="AI29" i="96" s="1"/>
  <c r="F29" i="96"/>
  <c r="AK29" i="96" s="1"/>
  <c r="G26" i="96"/>
  <c r="AL26" i="96" s="1"/>
  <c r="H28" i="96"/>
  <c r="AM28" i="96" s="1"/>
  <c r="C26" i="96"/>
  <c r="AH26" i="96" s="1"/>
  <c r="E30" i="96"/>
  <c r="AJ30" i="96" s="1"/>
  <c r="B25" i="96"/>
  <c r="AG25" i="96" s="1"/>
  <c r="G29" i="96"/>
  <c r="AL29" i="96" s="1"/>
  <c r="F30" i="96"/>
  <c r="AK30" i="96" s="1"/>
  <c r="H26" i="96"/>
  <c r="AM26" i="96" s="1"/>
  <c r="D27" i="96"/>
  <c r="AI27" i="96" s="1"/>
  <c r="C28" i="96"/>
  <c r="AH28" i="96" s="1"/>
  <c r="C25" i="96"/>
  <c r="AH25" i="96" s="1"/>
  <c r="B27" i="96"/>
  <c r="AG27" i="96" s="1"/>
  <c r="B29" i="96"/>
  <c r="AG29" i="96" s="1"/>
  <c r="H25" i="96"/>
  <c r="AM25" i="96" s="1"/>
  <c r="E28" i="96"/>
  <c r="AJ28" i="96" s="1"/>
  <c r="F28" i="96"/>
  <c r="AK28" i="96" s="1"/>
  <c r="E29" i="96"/>
  <c r="AJ29" i="96" s="1"/>
  <c r="H30" i="96"/>
  <c r="AM30" i="96" s="1"/>
  <c r="G30" i="96"/>
  <c r="AL30" i="96" s="1"/>
  <c r="H27" i="96"/>
  <c r="AM27" i="96" s="1"/>
  <c r="E25" i="96"/>
  <c r="AJ25" i="96" s="1"/>
  <c r="G27" i="96"/>
  <c r="AL27" i="96" s="1"/>
  <c r="J23" i="96"/>
  <c r="B28" i="96"/>
  <c r="AG28" i="96" s="1"/>
  <c r="F25" i="96"/>
  <c r="AK25" i="96" s="1"/>
  <c r="C29" i="96"/>
  <c r="AH29" i="96" s="1"/>
  <c r="D26" i="96"/>
  <c r="AI26" i="96" s="1"/>
  <c r="F27" i="96"/>
  <c r="AK27" i="96" s="1"/>
  <c r="H29" i="96"/>
  <c r="AM29" i="96" s="1"/>
  <c r="G28" i="96"/>
  <c r="AL28" i="96" s="1"/>
  <c r="AD13" i="58" l="1"/>
  <c r="AG13" i="58" s="1"/>
  <c r="AJ13" i="58" s="1"/>
  <c r="AD14" i="58"/>
  <c r="AF14" i="58" s="1"/>
  <c r="AZ14" i="58" s="1"/>
  <c r="AD15" i="58"/>
  <c r="AD12" i="58"/>
  <c r="AF12" i="58" s="1"/>
  <c r="K29" i="96"/>
  <c r="AP29" i="96" s="1"/>
  <c r="J27" i="96"/>
  <c r="AO27" i="96" s="1"/>
  <c r="O25" i="96"/>
  <c r="AT25" i="96" s="1"/>
  <c r="O26" i="96"/>
  <c r="AT26" i="96" s="1"/>
  <c r="P29" i="96"/>
  <c r="AU29" i="96" s="1"/>
  <c r="M27" i="96"/>
  <c r="AR27" i="96" s="1"/>
  <c r="N28" i="96"/>
  <c r="AS28" i="96" s="1"/>
  <c r="N30" i="96"/>
  <c r="AS30" i="96" s="1"/>
  <c r="P26" i="96"/>
  <c r="AU26" i="96" s="1"/>
  <c r="J30" i="96"/>
  <c r="AO30" i="96" s="1"/>
  <c r="L25" i="96"/>
  <c r="AQ25" i="96" s="1"/>
  <c r="M28" i="96"/>
  <c r="AR28" i="96" s="1"/>
  <c r="J28" i="96"/>
  <c r="AO28" i="96" s="1"/>
  <c r="M26" i="96"/>
  <c r="AR26" i="96" s="1"/>
  <c r="L28" i="96"/>
  <c r="AQ28" i="96" s="1"/>
  <c r="J29" i="96"/>
  <c r="AO29" i="96" s="1"/>
  <c r="L27" i="96"/>
  <c r="AQ27" i="96" s="1"/>
  <c r="N29" i="96"/>
  <c r="AS29" i="96" s="1"/>
  <c r="P27" i="96"/>
  <c r="AU27" i="96" s="1"/>
  <c r="O27" i="96"/>
  <c r="AT27" i="96" s="1"/>
  <c r="J26" i="96"/>
  <c r="AO26" i="96" s="1"/>
  <c r="P28" i="96"/>
  <c r="AU28" i="96" s="1"/>
  <c r="N27" i="96"/>
  <c r="AS27" i="96" s="1"/>
  <c r="K27" i="96"/>
  <c r="AP27" i="96" s="1"/>
  <c r="L30" i="96"/>
  <c r="AQ30" i="96" s="1"/>
  <c r="P30" i="96"/>
  <c r="AU30" i="96" s="1"/>
  <c r="R23" i="96"/>
  <c r="O28" i="96"/>
  <c r="AT28" i="96" s="1"/>
  <c r="K26" i="96"/>
  <c r="AP26" i="96" s="1"/>
  <c r="M25" i="96"/>
  <c r="AR25" i="96" s="1"/>
  <c r="L29" i="96"/>
  <c r="AQ29" i="96" s="1"/>
  <c r="M29" i="96"/>
  <c r="AR29" i="96" s="1"/>
  <c r="M30" i="96"/>
  <c r="AR30" i="96" s="1"/>
  <c r="K30" i="96"/>
  <c r="AP30" i="96" s="1"/>
  <c r="N26" i="96"/>
  <c r="AS26" i="96" s="1"/>
  <c r="P25" i="96"/>
  <c r="AU25" i="96" s="1"/>
  <c r="O30" i="96"/>
  <c r="AT30" i="96" s="1"/>
  <c r="O29" i="96"/>
  <c r="AT29" i="96" s="1"/>
  <c r="L26" i="96"/>
  <c r="AQ26" i="96" s="1"/>
  <c r="K28" i="96"/>
  <c r="AP28" i="96" s="1"/>
  <c r="J25" i="96"/>
  <c r="AO25" i="96" s="1"/>
  <c r="N25" i="96"/>
  <c r="AS25" i="96" s="1"/>
  <c r="K25" i="96"/>
  <c r="AP25" i="96" s="1"/>
  <c r="AF13" i="58" l="1"/>
  <c r="AZ13" i="58" s="1"/>
  <c r="AG14" i="58"/>
  <c r="AI14" i="58" s="1"/>
  <c r="AI13" i="58"/>
  <c r="AG12" i="58"/>
  <c r="AF15" i="58"/>
  <c r="AG15" i="58"/>
  <c r="AZ12" i="58"/>
  <c r="AZ15" i="58"/>
  <c r="V30" i="96"/>
  <c r="BA30" i="96" s="1"/>
  <c r="T26" i="96"/>
  <c r="AY26" i="96" s="1"/>
  <c r="X25" i="96"/>
  <c r="BC25" i="96" s="1"/>
  <c r="U30" i="96"/>
  <c r="AZ30" i="96" s="1"/>
  <c r="V28" i="96"/>
  <c r="BA28" i="96" s="1"/>
  <c r="U28" i="96"/>
  <c r="AZ28" i="96" s="1"/>
  <c r="V29" i="96"/>
  <c r="BA29" i="96" s="1"/>
  <c r="R25" i="96"/>
  <c r="AW25" i="96" s="1"/>
  <c r="U25" i="96"/>
  <c r="AZ25" i="96" s="1"/>
  <c r="X30" i="96"/>
  <c r="BC30" i="96" s="1"/>
  <c r="B32" i="96"/>
  <c r="U27" i="96"/>
  <c r="AZ27" i="96" s="1"/>
  <c r="W25" i="96"/>
  <c r="BB25" i="96" s="1"/>
  <c r="S30" i="96"/>
  <c r="AX30" i="96" s="1"/>
  <c r="T29" i="96"/>
  <c r="AY29" i="96" s="1"/>
  <c r="R29" i="96"/>
  <c r="AW29" i="96" s="1"/>
  <c r="S29" i="96"/>
  <c r="AX29" i="96" s="1"/>
  <c r="V25" i="96"/>
  <c r="BA25" i="96" s="1"/>
  <c r="S28" i="96"/>
  <c r="AX28" i="96" s="1"/>
  <c r="W28" i="96"/>
  <c r="BB28" i="96" s="1"/>
  <c r="W30" i="96"/>
  <c r="BB30" i="96" s="1"/>
  <c r="X26" i="96"/>
  <c r="BC26" i="96" s="1"/>
  <c r="T25" i="96"/>
  <c r="AY25" i="96" s="1"/>
  <c r="R26" i="96"/>
  <c r="AW26" i="96" s="1"/>
  <c r="R28" i="96"/>
  <c r="AW28" i="96" s="1"/>
  <c r="S26" i="96"/>
  <c r="AX26" i="96" s="1"/>
  <c r="W26" i="96"/>
  <c r="BB26" i="96" s="1"/>
  <c r="T28" i="96"/>
  <c r="AY28" i="96" s="1"/>
  <c r="W27" i="96"/>
  <c r="BB27" i="96" s="1"/>
  <c r="X28" i="96"/>
  <c r="BC28" i="96" s="1"/>
  <c r="T30" i="96"/>
  <c r="AY30" i="96" s="1"/>
  <c r="T27" i="96"/>
  <c r="AY27" i="96" s="1"/>
  <c r="X27" i="96"/>
  <c r="BC27" i="96" s="1"/>
  <c r="U29" i="96"/>
  <c r="AZ29" i="96" s="1"/>
  <c r="U26" i="96"/>
  <c r="AZ26" i="96" s="1"/>
  <c r="R30" i="96"/>
  <c r="AW30" i="96" s="1"/>
  <c r="S27" i="96"/>
  <c r="AX27" i="96" s="1"/>
  <c r="S25" i="96"/>
  <c r="AX25" i="96" s="1"/>
  <c r="X29" i="96"/>
  <c r="BC29" i="96" s="1"/>
  <c r="R27" i="96"/>
  <c r="AW27" i="96" s="1"/>
  <c r="W29" i="96"/>
  <c r="BB29" i="96" s="1"/>
  <c r="V27" i="96"/>
  <c r="BA27" i="96" s="1"/>
  <c r="V26" i="96"/>
  <c r="BA26" i="96" s="1"/>
  <c r="AJ14" i="58" l="1"/>
  <c r="AH12" i="58"/>
  <c r="AI12" i="58" s="1"/>
  <c r="AJ12" i="58"/>
  <c r="AJ15" i="58"/>
  <c r="AI15" i="58"/>
  <c r="F37" i="96"/>
  <c r="AK37" i="96" s="1"/>
  <c r="C38" i="96"/>
  <c r="AH38" i="96" s="1"/>
  <c r="G34" i="96"/>
  <c r="AL34" i="96" s="1"/>
  <c r="B37" i="96"/>
  <c r="AG37" i="96" s="1"/>
  <c r="H35" i="96"/>
  <c r="AM35" i="96" s="1"/>
  <c r="E36" i="96"/>
  <c r="AJ36" i="96" s="1"/>
  <c r="F34" i="96"/>
  <c r="AK34" i="96" s="1"/>
  <c r="C37" i="96"/>
  <c r="AH37" i="96" s="1"/>
  <c r="B34" i="96"/>
  <c r="AG34" i="96" s="1"/>
  <c r="G37" i="96"/>
  <c r="AL37" i="96" s="1"/>
  <c r="C34" i="96"/>
  <c r="AH34" i="96" s="1"/>
  <c r="E39" i="96"/>
  <c r="AJ39" i="96" s="1"/>
  <c r="H37" i="96"/>
  <c r="AM37" i="96" s="1"/>
  <c r="C35" i="96"/>
  <c r="AH35" i="96" s="1"/>
  <c r="B39" i="96"/>
  <c r="AG39" i="96" s="1"/>
  <c r="H34" i="96"/>
  <c r="AM34" i="96" s="1"/>
  <c r="G36" i="96"/>
  <c r="AL36" i="96" s="1"/>
  <c r="E37" i="96"/>
  <c r="AJ37" i="96" s="1"/>
  <c r="G38" i="96"/>
  <c r="AL38" i="96" s="1"/>
  <c r="B36" i="96"/>
  <c r="AG36" i="96" s="1"/>
  <c r="H36" i="96"/>
  <c r="AM36" i="96" s="1"/>
  <c r="F39" i="96"/>
  <c r="AK39" i="96" s="1"/>
  <c r="G35" i="96"/>
  <c r="AL35" i="96" s="1"/>
  <c r="C39" i="96"/>
  <c r="AH39" i="96" s="1"/>
  <c r="G39" i="96"/>
  <c r="AL39" i="96" s="1"/>
  <c r="E35" i="96"/>
  <c r="AJ35" i="96" s="1"/>
  <c r="D34" i="96"/>
  <c r="AI34" i="96" s="1"/>
  <c r="D39" i="96"/>
  <c r="AI39" i="96" s="1"/>
  <c r="H38" i="96"/>
  <c r="AM38" i="96" s="1"/>
  <c r="D37" i="96"/>
  <c r="AI37" i="96" s="1"/>
  <c r="F38" i="96"/>
  <c r="AK38" i="96" s="1"/>
  <c r="D36" i="96"/>
  <c r="AI36" i="96" s="1"/>
  <c r="D35" i="96"/>
  <c r="AI35" i="96" s="1"/>
  <c r="F35" i="96"/>
  <c r="AK35" i="96" s="1"/>
  <c r="C36" i="96"/>
  <c r="AH36" i="96" s="1"/>
  <c r="E34" i="96"/>
  <c r="AJ34" i="96" s="1"/>
  <c r="B38" i="96"/>
  <c r="AG38" i="96" s="1"/>
  <c r="D38" i="96"/>
  <c r="AI38" i="96" s="1"/>
  <c r="B35" i="96"/>
  <c r="AG35" i="96" s="1"/>
  <c r="F36" i="96"/>
  <c r="AK36" i="96" s="1"/>
  <c r="H39" i="96"/>
  <c r="AM39" i="96" s="1"/>
  <c r="E38" i="96"/>
  <c r="AJ38" i="96" s="1"/>
  <c r="J32" i="96"/>
  <c r="N35" i="96" l="1"/>
  <c r="AS35" i="96" s="1"/>
  <c r="P38" i="96"/>
  <c r="AU38" i="96" s="1"/>
  <c r="O38" i="96"/>
  <c r="AT38" i="96" s="1"/>
  <c r="K36" i="96"/>
  <c r="AP36" i="96" s="1"/>
  <c r="M38" i="96"/>
  <c r="AR38" i="96" s="1"/>
  <c r="P36" i="96"/>
  <c r="AU36" i="96" s="1"/>
  <c r="M36" i="96"/>
  <c r="AR36" i="96" s="1"/>
  <c r="N39" i="96"/>
  <c r="AS39" i="96" s="1"/>
  <c r="K37" i="96"/>
  <c r="AP37" i="96" s="1"/>
  <c r="P34" i="96"/>
  <c r="AU34" i="96" s="1"/>
  <c r="J34" i="96"/>
  <c r="AO34" i="96" s="1"/>
  <c r="M34" i="96"/>
  <c r="AR34" i="96" s="1"/>
  <c r="L37" i="96"/>
  <c r="AQ37" i="96" s="1"/>
  <c r="O39" i="96"/>
  <c r="AT39" i="96" s="1"/>
  <c r="J37" i="96"/>
  <c r="AO37" i="96" s="1"/>
  <c r="L34" i="96"/>
  <c r="AQ34" i="96" s="1"/>
  <c r="J36" i="96"/>
  <c r="AO36" i="96" s="1"/>
  <c r="M37" i="96"/>
  <c r="AR37" i="96" s="1"/>
  <c r="N37" i="96"/>
  <c r="AS37" i="96" s="1"/>
  <c r="L35" i="96"/>
  <c r="AQ35" i="96" s="1"/>
  <c r="N38" i="96"/>
  <c r="AS38" i="96" s="1"/>
  <c r="J39" i="96"/>
  <c r="AO39" i="96" s="1"/>
  <c r="P35" i="96"/>
  <c r="AU35" i="96" s="1"/>
  <c r="L36" i="96"/>
  <c r="AQ36" i="96" s="1"/>
  <c r="K38" i="96"/>
  <c r="AP38" i="96" s="1"/>
  <c r="L39" i="96"/>
  <c r="AQ39" i="96" s="1"/>
  <c r="O35" i="96"/>
  <c r="AT35" i="96" s="1"/>
  <c r="J35" i="96"/>
  <c r="AO35" i="96" s="1"/>
  <c r="K39" i="96"/>
  <c r="AP39" i="96" s="1"/>
  <c r="N34" i="96"/>
  <c r="AS34" i="96" s="1"/>
  <c r="K35" i="96"/>
  <c r="AP35" i="96" s="1"/>
  <c r="L38" i="96"/>
  <c r="AQ38" i="96" s="1"/>
  <c r="P37" i="96"/>
  <c r="AU37" i="96" s="1"/>
  <c r="P39" i="96"/>
  <c r="AU39" i="96" s="1"/>
  <c r="K34" i="96"/>
  <c r="AP34" i="96" s="1"/>
  <c r="M39" i="96"/>
  <c r="AR39" i="96" s="1"/>
  <c r="R32" i="96"/>
  <c r="M35" i="96"/>
  <c r="AR35" i="96" s="1"/>
  <c r="O34" i="96"/>
  <c r="AT34" i="96" s="1"/>
  <c r="J38" i="96"/>
  <c r="AO38" i="96" s="1"/>
  <c r="O36" i="96"/>
  <c r="AT36" i="96" s="1"/>
  <c r="N36" i="96"/>
  <c r="AS36" i="96" s="1"/>
  <c r="O37" i="96"/>
  <c r="AT37" i="96" s="1"/>
  <c r="T34" i="96" l="1"/>
  <c r="AY34" i="96" s="1"/>
  <c r="T38" i="96"/>
  <c r="AY38" i="96" s="1"/>
  <c r="V39" i="96"/>
  <c r="BA39" i="96" s="1"/>
  <c r="T39" i="96"/>
  <c r="AY39" i="96" s="1"/>
  <c r="R35" i="96"/>
  <c r="AW35" i="96" s="1"/>
  <c r="S38" i="96"/>
  <c r="AX38" i="96" s="1"/>
  <c r="W36" i="96"/>
  <c r="BB36" i="96" s="1"/>
  <c r="W34" i="96"/>
  <c r="BB34" i="96" s="1"/>
  <c r="W38" i="96"/>
  <c r="BB38" i="96" s="1"/>
  <c r="U36" i="96"/>
  <c r="AZ36" i="96" s="1"/>
  <c r="V36" i="96"/>
  <c r="BA36" i="96" s="1"/>
  <c r="X37" i="96"/>
  <c r="BC37" i="96" s="1"/>
  <c r="W35" i="96"/>
  <c r="BB35" i="96" s="1"/>
  <c r="U37" i="96"/>
  <c r="AZ37" i="96" s="1"/>
  <c r="X34" i="96"/>
  <c r="BC34" i="96" s="1"/>
  <c r="W39" i="96"/>
  <c r="BB39" i="96" s="1"/>
  <c r="T37" i="96"/>
  <c r="AY37" i="96" s="1"/>
  <c r="U35" i="96"/>
  <c r="AZ35" i="96" s="1"/>
  <c r="R34" i="96"/>
  <c r="AW34" i="96" s="1"/>
  <c r="S39" i="96"/>
  <c r="AX39" i="96" s="1"/>
  <c r="X39" i="96"/>
  <c r="BC39" i="96" s="1"/>
  <c r="R39" i="96"/>
  <c r="AW39" i="96" s="1"/>
  <c r="S35" i="96"/>
  <c r="AX35" i="96" s="1"/>
  <c r="V34" i="96"/>
  <c r="BA34" i="96" s="1"/>
  <c r="X38" i="96"/>
  <c r="BC38" i="96" s="1"/>
  <c r="S37" i="96"/>
  <c r="AX37" i="96" s="1"/>
  <c r="S34" i="96"/>
  <c r="AX34" i="96" s="1"/>
  <c r="V37" i="96"/>
  <c r="BA37" i="96" s="1"/>
  <c r="W37" i="96"/>
  <c r="BB37" i="96" s="1"/>
  <c r="U39" i="96"/>
  <c r="AZ39" i="96" s="1"/>
  <c r="S36" i="96"/>
  <c r="AX36" i="96" s="1"/>
  <c r="T35" i="96"/>
  <c r="AY35" i="96" s="1"/>
  <c r="X35" i="96"/>
  <c r="BC35" i="96" s="1"/>
  <c r="R36" i="96"/>
  <c r="AW36" i="96" s="1"/>
  <c r="V35" i="96"/>
  <c r="BA35" i="96" s="1"/>
  <c r="V38" i="96"/>
  <c r="BA38" i="96" s="1"/>
  <c r="U34" i="96"/>
  <c r="AZ34" i="96" s="1"/>
  <c r="X36" i="96"/>
  <c r="BC36" i="96" s="1"/>
  <c r="R38" i="96"/>
  <c r="AW38" i="96" s="1"/>
  <c r="U38" i="96"/>
  <c r="AZ38" i="96" s="1"/>
  <c r="R37" i="96"/>
  <c r="AW37" i="96" s="1"/>
  <c r="T36" i="96"/>
  <c r="AY36" i="96" s="1"/>
  <c r="AE34" i="58" l="1"/>
  <c r="AE32" i="58"/>
  <c r="AD11" i="58"/>
  <c r="AF11" i="58" s="1"/>
  <c r="AD32" i="58"/>
  <c r="K14" i="49" l="1"/>
  <c r="AF34" i="58"/>
  <c r="AF32" i="58"/>
  <c r="AE33" i="58"/>
  <c r="AD34" i="58"/>
  <c r="AD33" i="58" s="1"/>
  <c r="AG11" i="58"/>
  <c r="AG33" i="58" s="1"/>
  <c r="AT30" i="84" s="1"/>
  <c r="AT59" i="84" l="1"/>
  <c r="M3" i="44"/>
  <c r="AG32" i="58"/>
  <c r="AJ11" i="58"/>
  <c r="AJ33" i="58" s="1"/>
  <c r="AH11" i="58"/>
  <c r="AI11" i="58" s="1"/>
  <c r="AG34" i="58"/>
  <c r="J5" i="49" s="1"/>
  <c r="AF33" i="58"/>
  <c r="H28" i="48" l="1"/>
  <c r="H54" i="47"/>
  <c r="G32" i="45"/>
  <c r="AI34" i="58"/>
  <c r="AI32" i="58"/>
  <c r="AH34" i="58"/>
  <c r="AH32" i="58"/>
  <c r="AJ32" i="58"/>
  <c r="AJ34" i="58"/>
  <c r="AT7" i="84"/>
  <c r="L3" i="44" l="1"/>
  <c r="I28" i="48"/>
  <c r="I54" i="47"/>
  <c r="AT24" i="84"/>
  <c r="AH33" i="58"/>
  <c r="AI33" i="58"/>
  <c r="G30" i="45" l="1"/>
  <c r="AT61" i="84"/>
  <c r="H52" i="47"/>
  <c r="H26" i="48"/>
  <c r="H56" i="47" l="1"/>
  <c r="H30" i="48"/>
  <c r="G34" i="45"/>
  <c r="H3" i="44"/>
  <c r="I30" i="48" l="1"/>
  <c r="I56" i="47"/>
  <c r="AK11" i="58"/>
  <c r="AK34" i="58" s="1"/>
  <c r="J14" i="49" l="1"/>
  <c r="U3" i="44"/>
  <c r="AK32" i="58"/>
  <c r="AK33" i="58" s="1"/>
  <c r="AZ11" i="58"/>
  <c r="AL11" i="58"/>
  <c r="AL32" i="58" l="1"/>
  <c r="BJ7" i="84" s="1"/>
  <c r="AL33" i="58"/>
  <c r="BJ30" i="84" s="1"/>
  <c r="BC2" i="58" a="1"/>
  <c r="BC2" i="58" s="1"/>
  <c r="BC17" i="58" a="1"/>
  <c r="BC17" i="58" s="1"/>
  <c r="BC31" i="58" a="1"/>
  <c r="BC31" i="58" s="1"/>
  <c r="BC19" i="58" a="1"/>
  <c r="BC19" i="58" s="1"/>
  <c r="BC18" i="58" a="1"/>
  <c r="BC18" i="58" s="1"/>
  <c r="BC24" i="58" a="1"/>
  <c r="BC24" i="58" s="1"/>
  <c r="BC36" i="58" a="1"/>
  <c r="BC36" i="58" s="1"/>
  <c r="BC13" i="58" a="1"/>
  <c r="BC13" i="58" s="1"/>
  <c r="BC29" i="58" a="1"/>
  <c r="BC29" i="58" s="1"/>
  <c r="BC3" i="58" a="1"/>
  <c r="BC3" i="58" s="1"/>
  <c r="BC10" i="58" a="1"/>
  <c r="BC10" i="58" s="1"/>
  <c r="BC14" i="58" a="1"/>
  <c r="BC14" i="58" s="1"/>
  <c r="BC15" i="58" a="1"/>
  <c r="BC15" i="58" s="1"/>
  <c r="BC30" i="58" a="1"/>
  <c r="BC30" i="58" s="1"/>
  <c r="BC4" i="58" a="1"/>
  <c r="BC4" i="58" s="1"/>
  <c r="BC22" i="58" a="1"/>
  <c r="BC22" i="58" s="1"/>
  <c r="BC34" i="58" a="1"/>
  <c r="BC34" i="58" s="1"/>
  <c r="BC12" i="58" a="1"/>
  <c r="BC12" i="58" s="1"/>
  <c r="BC37" i="58" a="1"/>
  <c r="BC37" i="58" s="1"/>
  <c r="BC23" i="58" a="1"/>
  <c r="BC23" i="58" s="1"/>
  <c r="BC11" i="58" a="1"/>
  <c r="BC11" i="58" s="1"/>
  <c r="BC33" i="58" a="1"/>
  <c r="BC33" i="58" s="1"/>
  <c r="BC28" i="58" a="1"/>
  <c r="BC28" i="58" s="1"/>
  <c r="BC5" i="58" a="1"/>
  <c r="BC5" i="58" s="1"/>
  <c r="BC26" i="58" a="1"/>
  <c r="BC26" i="58" s="1"/>
  <c r="BC21" i="58" a="1"/>
  <c r="BC21" i="58" s="1"/>
  <c r="BC20" i="58" a="1"/>
  <c r="BC20" i="58" s="1"/>
  <c r="BC27" i="58" a="1"/>
  <c r="BC27" i="58" s="1"/>
  <c r="BC32" i="58" a="1"/>
  <c r="BC32" i="58" s="1"/>
  <c r="BC6" i="58" a="1"/>
  <c r="BC6" i="58" s="1"/>
  <c r="BC8" i="58" a="1"/>
  <c r="BC8" i="58" s="1"/>
  <c r="BC25" i="58" a="1"/>
  <c r="BC25" i="58" s="1"/>
  <c r="BC7" i="58" a="1"/>
  <c r="BC7" i="58" s="1"/>
  <c r="BC9" i="58" a="1"/>
  <c r="BC9" i="58" s="1"/>
  <c r="BC16" i="58" a="1"/>
  <c r="BC16" i="58" s="1"/>
  <c r="AL34" i="58" l="1"/>
  <c r="BJ59" i="84"/>
  <c r="BZ30" i="84"/>
  <c r="BJ24" i="84"/>
  <c r="BZ7" i="84"/>
  <c r="J54" i="47" l="1"/>
  <c r="K54" i="47" s="1"/>
  <c r="J28" i="48"/>
  <c r="K28" i="48" s="1"/>
  <c r="H32" i="45"/>
  <c r="CO59" i="84"/>
  <c r="BZ59" i="84"/>
  <c r="CO24" i="84"/>
  <c r="H30" i="45"/>
  <c r="BZ24" i="84"/>
  <c r="J26" i="48"/>
  <c r="K26" i="48" s="1"/>
  <c r="J52" i="47"/>
  <c r="K52" i="47" s="1"/>
  <c r="BJ61" i="84"/>
  <c r="L54" i="47" l="1"/>
  <c r="L28" i="48"/>
  <c r="J32" i="45"/>
  <c r="I32" i="45"/>
  <c r="H34" i="45"/>
  <c r="I34" i="45" s="1"/>
  <c r="J56" i="47"/>
  <c r="K56" i="47" s="1"/>
  <c r="BZ61" i="84"/>
  <c r="CO61" i="84"/>
  <c r="J30" i="48"/>
  <c r="K30" i="48" s="1"/>
  <c r="L52" i="47"/>
  <c r="L26" i="48"/>
  <c r="I30" i="45"/>
  <c r="J30" i="45"/>
  <c r="J34" i="45" l="1"/>
  <c r="L30" i="48"/>
  <c r="L56" i="4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Alessandra</author>
  </authors>
  <commentList>
    <comment ref="D34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Alessandra:</t>
        </r>
        <r>
          <rPr>
            <sz val="9"/>
            <color indexed="81"/>
            <rFont val="Tahoma"/>
            <family val="2"/>
          </rPr>
          <t xml:space="preserve">
falls zu "probabilité" gehörend: weibliche Form</t>
        </r>
      </text>
    </comment>
  </commentList>
</comments>
</file>

<file path=xl/sharedStrings.xml><?xml version="1.0" encoding="utf-8"?>
<sst xmlns="http://schemas.openxmlformats.org/spreadsheetml/2006/main" count="3126" uniqueCount="2289">
  <si>
    <t>IST</t>
  </si>
  <si>
    <t>Projektnummer:</t>
  </si>
  <si>
    <t>Ende:</t>
  </si>
  <si>
    <t>AuftraggeberIn:</t>
  </si>
  <si>
    <t>Abteilung:</t>
  </si>
  <si>
    <t>geändert am:</t>
  </si>
  <si>
    <t>StellvertreterIn:</t>
  </si>
  <si>
    <t>Strategisches Ziel:</t>
  </si>
  <si>
    <t>3.</t>
  </si>
  <si>
    <t>4.</t>
  </si>
  <si>
    <t>5.</t>
  </si>
  <si>
    <t>6.</t>
  </si>
  <si>
    <t>1.</t>
  </si>
  <si>
    <t>2.</t>
  </si>
  <si>
    <t>Budget / Ressourcen / Personen</t>
  </si>
  <si>
    <t>Diverses 1:</t>
  </si>
  <si>
    <t>Diverses 2:</t>
  </si>
  <si>
    <t>Diverses 3:</t>
  </si>
  <si>
    <t>Wann?</t>
  </si>
  <si>
    <t>Was?</t>
  </si>
  <si>
    <t>Wer?</t>
  </si>
  <si>
    <t>Genehmigt?</t>
  </si>
  <si>
    <t>Bemerkungen</t>
  </si>
  <si>
    <t>Datum</t>
  </si>
  <si>
    <t>Unterschrift AuftraggeberIn</t>
  </si>
  <si>
    <t>Unterschrift ProjektleiterIn</t>
  </si>
  <si>
    <t>Detailplanung</t>
  </si>
  <si>
    <t>Gesamtprojekt</t>
  </si>
  <si>
    <t>Budget/Ressourcen</t>
  </si>
  <si>
    <t>Termine/Planung</t>
  </si>
  <si>
    <t>Budget</t>
  </si>
  <si>
    <t>SALDO</t>
  </si>
  <si>
    <t>in %</t>
  </si>
  <si>
    <t>War das Projekt erfolgreich?</t>
  </si>
  <si>
    <t>Begründung:</t>
  </si>
  <si>
    <t>Wurden alle Projektziele erreicht?</t>
  </si>
  <si>
    <t>Wurde das Budget eingehalten?</t>
  </si>
  <si>
    <t>Problemanalyse</t>
  </si>
  <si>
    <t>Grobplanung</t>
  </si>
  <si>
    <t>Projektteam</t>
  </si>
  <si>
    <t>Go/NoGo</t>
  </si>
  <si>
    <t>Teilprojekte definieren</t>
  </si>
  <si>
    <t>Verantwortungen klären</t>
  </si>
  <si>
    <t>Definition Schnittstellen</t>
  </si>
  <si>
    <t>Definition Arbeitspakete</t>
  </si>
  <si>
    <t>Detailkonzept umsetzen</t>
  </si>
  <si>
    <t>Projektverfolgung</t>
  </si>
  <si>
    <t>Planung aktualisieren</t>
  </si>
  <si>
    <t>Auftraggeber informieren</t>
  </si>
  <si>
    <t>Schlussbericht</t>
  </si>
  <si>
    <t>Auflösung des Projektes</t>
  </si>
  <si>
    <t>Ergebnisse sicherstellen</t>
  </si>
  <si>
    <t>Teilresultate sichern</t>
  </si>
  <si>
    <t xml:space="preserve">Go/NoGo Grobkonzept </t>
  </si>
  <si>
    <t>Woche</t>
  </si>
  <si>
    <t>Name</t>
  </si>
  <si>
    <t>Vorname</t>
  </si>
  <si>
    <t>Kürzel</t>
  </si>
  <si>
    <t>e-mail</t>
  </si>
  <si>
    <t>Telefon</t>
  </si>
  <si>
    <t>Anz.</t>
  </si>
  <si>
    <t>vgl. Detail Projektteam</t>
  </si>
  <si>
    <t>vgl. Detail Projektbudget (intern)</t>
  </si>
  <si>
    <t>vgl. Detail Projektbudget (extern)</t>
  </si>
  <si>
    <t>Ja</t>
  </si>
  <si>
    <t>Beginn</t>
  </si>
  <si>
    <t>Ende</t>
  </si>
  <si>
    <t>MS</t>
  </si>
  <si>
    <t>INITIALISIERUNGSPHASE</t>
  </si>
  <si>
    <t>PLANUNGSPHASE</t>
  </si>
  <si>
    <t>REALISIERUNGSPHASE</t>
  </si>
  <si>
    <t>ABSCHLUSSPHASE</t>
  </si>
  <si>
    <t>Bemerkungen/Beilagen</t>
  </si>
  <si>
    <t>Projektauftrag</t>
  </si>
  <si>
    <t>Grobkonzept</t>
  </si>
  <si>
    <t>Detailkonzept</t>
  </si>
  <si>
    <t>Fin:</t>
  </si>
  <si>
    <t>Mandant:</t>
  </si>
  <si>
    <t>Objectif stratégique</t>
  </si>
  <si>
    <t>Budget / Ressources / Personnes</t>
  </si>
  <si>
    <t>Quand?</t>
  </si>
  <si>
    <t>Quoi?</t>
  </si>
  <si>
    <t>Projektziele (SMART = Spezifisch, Messbar, Akzeptiert, Realisierbar, Terminierbar)</t>
  </si>
  <si>
    <t>Personalaufw.:</t>
  </si>
  <si>
    <t>voir détail "équipe de projet"</t>
  </si>
  <si>
    <t>Divers 1 :</t>
  </si>
  <si>
    <t>voir détail "budget interne"</t>
  </si>
  <si>
    <t>voir détail "budget externe"</t>
  </si>
  <si>
    <t>Qui?</t>
  </si>
  <si>
    <t>Approuvé?</t>
  </si>
  <si>
    <t>Date</t>
  </si>
  <si>
    <t>Analyse du problème</t>
  </si>
  <si>
    <t>Analyse SWOT</t>
  </si>
  <si>
    <t>Planification sommaire</t>
  </si>
  <si>
    <t>Définir les sous-projets</t>
  </si>
  <si>
    <t>Définition des interfaces</t>
  </si>
  <si>
    <t>Définition des travaux</t>
  </si>
  <si>
    <t>Concept sommaire</t>
  </si>
  <si>
    <t>Concept détaillé</t>
  </si>
  <si>
    <t>Ass. résultats partiels</t>
  </si>
  <si>
    <t>Actualiser planification</t>
  </si>
  <si>
    <t>Informer le mandant</t>
  </si>
  <si>
    <t>Assurer les résultats</t>
  </si>
  <si>
    <t>Rapport final</t>
  </si>
  <si>
    <t>Début</t>
  </si>
  <si>
    <t>Fin</t>
  </si>
  <si>
    <t>EI</t>
  </si>
  <si>
    <t>PHASE D'INITIALISATION</t>
  </si>
  <si>
    <t>PHASE DE PLANIFICATION</t>
  </si>
  <si>
    <t>PHASE DE CONCEPTION</t>
  </si>
  <si>
    <t>PHASE DE RÉALISATION</t>
  </si>
  <si>
    <t>PHASE DE FINALISATION</t>
  </si>
  <si>
    <t>Semaine</t>
  </si>
  <si>
    <t>Planification détaillée</t>
  </si>
  <si>
    <t>Oui</t>
  </si>
  <si>
    <t>Budget/Ressources</t>
  </si>
  <si>
    <t>Délais/Planification</t>
  </si>
  <si>
    <t>Commentaires</t>
  </si>
  <si>
    <t>SOLDE</t>
  </si>
  <si>
    <t>en %</t>
  </si>
  <si>
    <t>Projet couronné de succès ?</t>
  </si>
  <si>
    <t>Est-ce que tous les objectifs ont été atteints?</t>
  </si>
  <si>
    <t>Le budget a-t-il été respecté ?</t>
  </si>
  <si>
    <t>Justification:</t>
  </si>
  <si>
    <t>Signature mandant</t>
  </si>
  <si>
    <t>Nom</t>
  </si>
  <si>
    <t>Prénom</t>
  </si>
  <si>
    <t>Einheitspreis</t>
  </si>
  <si>
    <t>Remarques</t>
  </si>
  <si>
    <t>Prix unitaire</t>
  </si>
  <si>
    <t>Libellé</t>
  </si>
  <si>
    <t>Projektauftrag besprechen und von AuftraggeberIn unterschreiben</t>
  </si>
  <si>
    <t>Detailplan erstellt und  Go/No Go von AuftraggeberIn</t>
  </si>
  <si>
    <t>Grobkonzept erstellt und Go/No Go von AuftraggeberIn</t>
  </si>
  <si>
    <t>Detailkonzept erstellt und Go/No Go von AuftraggeberIn</t>
  </si>
  <si>
    <t>Monatlicher Zwischenrapport an AuftraggeberIn</t>
  </si>
  <si>
    <t>Schlussrapport an AuftraggeberIn</t>
  </si>
  <si>
    <t>Rapport final à l'attention du mandant</t>
  </si>
  <si>
    <t>Deutsch</t>
  </si>
  <si>
    <t>Aktuelle Sprache</t>
  </si>
  <si>
    <t>Sprache 1</t>
  </si>
  <si>
    <t>Sprache 2</t>
  </si>
  <si>
    <t>Sprache 3</t>
  </si>
  <si>
    <t>Sprache 4</t>
  </si>
  <si>
    <t>Aktuell angezeigte Sprache</t>
  </si>
  <si>
    <t>Français</t>
  </si>
  <si>
    <t>Ressourcen</t>
  </si>
  <si>
    <t>Ressources</t>
  </si>
  <si>
    <t>Planung</t>
  </si>
  <si>
    <t>Konzept</t>
  </si>
  <si>
    <t>Realisierung</t>
  </si>
  <si>
    <t>Abschluss</t>
  </si>
  <si>
    <t>Initialisation</t>
  </si>
  <si>
    <t>Planification</t>
  </si>
  <si>
    <t>Réalisation</t>
  </si>
  <si>
    <t>Finalisation</t>
  </si>
  <si>
    <t>Auftrag</t>
  </si>
  <si>
    <t>Schluss-bericht</t>
  </si>
  <si>
    <t>Mandat</t>
  </si>
  <si>
    <t>Concept</t>
  </si>
  <si>
    <t>Sortieren</t>
  </si>
  <si>
    <t>Trier</t>
  </si>
  <si>
    <t>läuft planmässig</t>
  </si>
  <si>
    <t>comme prévu</t>
  </si>
  <si>
    <t>kritisch</t>
  </si>
  <si>
    <t>critique</t>
  </si>
  <si>
    <t>im Auge behalten</t>
  </si>
  <si>
    <t>à surveiller</t>
  </si>
  <si>
    <t>ja</t>
  </si>
  <si>
    <t>oui</t>
  </si>
  <si>
    <t>teilweise</t>
  </si>
  <si>
    <t>partiellement</t>
  </si>
  <si>
    <t>nein</t>
  </si>
  <si>
    <t>non</t>
  </si>
  <si>
    <t>Beginn:</t>
  </si>
  <si>
    <t>Début:</t>
  </si>
  <si>
    <t>Fehlermeldungen</t>
  </si>
  <si>
    <t>Messages d'erreurs</t>
  </si>
  <si>
    <t>Bitte Datum des Projektbeginns im Auftrag eingeben!!</t>
  </si>
  <si>
    <t>Veuillez s.v.p. saisir la date du début du projet dans le mandat!!</t>
  </si>
  <si>
    <t>Mandat de projet</t>
  </si>
  <si>
    <t>Equipe de projet</t>
  </si>
  <si>
    <t>Définir les responsabilités</t>
  </si>
  <si>
    <t>Suivi du projet</t>
  </si>
  <si>
    <t>Clôture du projet</t>
  </si>
  <si>
    <t>Chef de projet :</t>
  </si>
  <si>
    <t>Section :</t>
  </si>
  <si>
    <t>modifié le :</t>
  </si>
  <si>
    <t>Charges de pers. :</t>
  </si>
  <si>
    <t>Commentaires/pièces jointes</t>
  </si>
  <si>
    <t>Discuter du mandat et le faire signer par le mandant</t>
  </si>
  <si>
    <t>Plan détaillé établi et Go/No Go de la part du mandant</t>
  </si>
  <si>
    <t>Concept général établi et Go/No Go de la part du mandant</t>
  </si>
  <si>
    <t>Concept détaillé établi et Go/No Go de la part du mandant</t>
  </si>
  <si>
    <t>Signature chef de projet</t>
  </si>
  <si>
    <t>Projet global</t>
  </si>
  <si>
    <t>Abrév.</t>
  </si>
  <si>
    <t>Funktion</t>
  </si>
  <si>
    <t>ProjektleiterIn:</t>
  </si>
  <si>
    <t>KONZEPTPHASE</t>
  </si>
  <si>
    <t>Resp.</t>
  </si>
  <si>
    <t>Zust.</t>
  </si>
  <si>
    <t>7.</t>
  </si>
  <si>
    <t>8.</t>
  </si>
  <si>
    <t>Arbeitsstunden</t>
  </si>
  <si>
    <t>Arbeitstage (8h)</t>
  </si>
  <si>
    <t>Heures de travail</t>
  </si>
  <si>
    <t>Jours de travail (8h)</t>
  </si>
  <si>
    <t>P1</t>
  </si>
  <si>
    <t>PLAN</t>
  </si>
  <si>
    <t>RÉEL</t>
  </si>
  <si>
    <t>Absenzen/Bemerkungen</t>
  </si>
  <si>
    <t>Absences/Remarques</t>
  </si>
  <si>
    <t>Qualität/Ziele</t>
  </si>
  <si>
    <t>Qualité/Objectifs</t>
  </si>
  <si>
    <t>Coûts (internes)</t>
  </si>
  <si>
    <t>B U D G E T</t>
  </si>
  <si>
    <t>x!A571</t>
  </si>
  <si>
    <t>Plan</t>
  </si>
  <si>
    <t>Réel</t>
  </si>
  <si>
    <t>Ist</t>
  </si>
  <si>
    <t>Saldo</t>
  </si>
  <si>
    <t>Solde</t>
  </si>
  <si>
    <t>Go/NoGo concept sommaire</t>
  </si>
  <si>
    <t>Chef de projet</t>
  </si>
  <si>
    <t>Intitialisierung</t>
  </si>
  <si>
    <t>b</t>
  </si>
  <si>
    <t>Filter:</t>
  </si>
  <si>
    <t>Management Summary</t>
  </si>
  <si>
    <t>Ausgangslage</t>
  </si>
  <si>
    <t>Projektorganisation und Meilensteine</t>
  </si>
  <si>
    <t>Grobbudget</t>
  </si>
  <si>
    <t>Mögliche Lösungsvorschläge</t>
  </si>
  <si>
    <t>Weiteres Vorgehen</t>
  </si>
  <si>
    <t>Anhang</t>
  </si>
  <si>
    <t>Das wichtigste auf max. einer halben Seite zusammenfassen:</t>
  </si>
  <si>
    <t>Wer ist Auftraggeber?</t>
  </si>
  <si>
    <t>Kurze Beschreibung der Problemstellung.</t>
  </si>
  <si>
    <t>Welches sind die Projektziele?</t>
  </si>
  <si>
    <t>Was sind die erwarteten Ergebnisse (Delivrable)?</t>
  </si>
  <si>
    <t>Welches sind die Erfolgsfaktoren?</t>
  </si>
  <si>
    <t>Welches die Risiken?</t>
  </si>
  <si>
    <t>Projektorganigramm?</t>
  </si>
  <si>
    <t>Wer arbeitet im Projekt mit? Wer ist wofür zuständig (Verantwortungen, Kompetenzen)?</t>
  </si>
  <si>
    <t>Welches sind die Meilensteine?</t>
  </si>
  <si>
    <t>Wie sieht der Grobplan aus?</t>
  </si>
  <si>
    <t>Wie wird über den Verlauf des Projektes informiert/kommuniziert?</t>
  </si>
  <si>
    <t>Interne Ressourcen (Anzahl Halbtage, evt. umrechnen in Frankenbeträgen)?</t>
  </si>
  <si>
    <t>Externe Kosten?</t>
  </si>
  <si>
    <t>Verschiedene Lösungsvarianten aufzeigen.</t>
  </si>
  <si>
    <t>Bewertung der Varianten (Vor- und Nachteile)?</t>
  </si>
  <si>
    <t>Vorschlag für eine Variante.</t>
  </si>
  <si>
    <t>Wie sieht das weitere Vorgehen aus? Vorschlag?</t>
  </si>
  <si>
    <t>Bis wann, muss was entschieden werden?</t>
  </si>
  <si>
    <t>Mindestens: Projektauftrag, Grobplan, Projektteam, Grobbudget</t>
  </si>
  <si>
    <t>Table des matières</t>
  </si>
  <si>
    <t>Inhaltsverzeichnis</t>
  </si>
  <si>
    <t>Situation de départ</t>
  </si>
  <si>
    <t>Organisation du projet et jalons</t>
  </si>
  <si>
    <t>Budget sommaire</t>
  </si>
  <si>
    <t>Solutions possibles</t>
  </si>
  <si>
    <t>Suite</t>
  </si>
  <si>
    <t>Annexes</t>
  </si>
  <si>
    <t>Situation de départ et données du problème ?</t>
  </si>
  <si>
    <t>Objectifs du projet ?</t>
  </si>
  <si>
    <t>Résultats attendus ?</t>
  </si>
  <si>
    <t>Proposition d'une solution ?</t>
  </si>
  <si>
    <t>Quelles sont les décisions à prendre par le mandant et jusqu'à quand ?</t>
  </si>
  <si>
    <t>Résumer l’essentiel sur max. une demi-page :</t>
  </si>
  <si>
    <t>Ausgangslage und Problemstellung?</t>
  </si>
  <si>
    <t>Projektziele?</t>
  </si>
  <si>
    <t>Erwartete Ergebnisse?</t>
  </si>
  <si>
    <t>Vorschlag einer Lösungsvariante?</t>
  </si>
  <si>
    <t>Worüber sollte der Auftraggeber entscheiden, bis wann?</t>
  </si>
  <si>
    <t>Qui est le mandant ?</t>
  </si>
  <si>
    <t>Brève description de la problématique.</t>
  </si>
  <si>
    <t>Quels sont les objectifs du projet ?</t>
  </si>
  <si>
    <t>Quels sont les résultats attendus (les délivrables) ?</t>
  </si>
  <si>
    <t xml:space="preserve">Quels sont les facteurs de succès ? </t>
  </si>
  <si>
    <t>Quels sont les risques ?</t>
  </si>
  <si>
    <t>Organigramme du projet ?</t>
  </si>
  <si>
    <t>Qui collabore au projet ? Qui assume quelles responsabilités et quelles compétences ?</t>
  </si>
  <si>
    <t>Quels sont les jalons ?</t>
  </si>
  <si>
    <t>Quelle est la planification sommaire ?</t>
  </si>
  <si>
    <t>Quelle est la stratégie d’information/de communication relative au projet ?</t>
  </si>
  <si>
    <t>Ressources internes (nombre de demi-journées / éventuellement en montants en francs) ?</t>
  </si>
  <si>
    <t>Coûts externes ?</t>
  </si>
  <si>
    <t>Proposer différentes solutions.</t>
  </si>
  <si>
    <t>Evaluation des solutions (avantages et inconvénients) ?</t>
  </si>
  <si>
    <t>Proposition d’une solution.</t>
  </si>
  <si>
    <t>Quelle est la suite du projet ? Proposition ?</t>
  </si>
  <si>
    <t>Quelles décisions doivent être prises pour quelle date ?</t>
  </si>
  <si>
    <t>Au moins : mandat de projet, plan sommaire, équipe de projet, budget sommaire.</t>
  </si>
  <si>
    <t xml:space="preserve"> Anhang</t>
  </si>
  <si>
    <t>MS Word Vorlage öffnen &gt;&gt;</t>
  </si>
  <si>
    <t>Organisation und Planung</t>
  </si>
  <si>
    <t>Umsetzung</t>
  </si>
  <si>
    <t>Erfolgsfaktoren und Risiken</t>
  </si>
  <si>
    <t>Qualitätssicherung und Controlling</t>
  </si>
  <si>
    <t>Fazit</t>
  </si>
  <si>
    <t>Das wichtigste auf max. einer Seite zusammenfassen:</t>
  </si>
  <si>
    <t>Was wurde bis jetzt gemacht? Stand? Probleme?</t>
  </si>
  <si>
    <t>Projektorganigramm? Projektpartner?</t>
  </si>
  <si>
    <t>Wie sieht der Detailplan aus? Wer macht was? Wann?</t>
  </si>
  <si>
    <t>Budget?</t>
  </si>
  <si>
    <t>Interne Ressourcen?</t>
  </si>
  <si>
    <t>Externe Ressourcen?</t>
  </si>
  <si>
    <t>(Basis = Vorgeschlagene Variante aus dem Grobkonzept)</t>
  </si>
  <si>
    <t>Wie ist das geplante Vorgehen?</t>
  </si>
  <si>
    <t>Wie wird umgesetzt?</t>
  </si>
  <si>
    <t>Welches sind die Risiken?</t>
  </si>
  <si>
    <t>Welche Massnahmen müssen zur Risikominimierung eingeleitet werden?</t>
  </si>
  <si>
    <t>Wie wird die Qualitätssicherung gemacht?</t>
  </si>
  <si>
    <t>Wie sieht das Controlling aus?</t>
  </si>
  <si>
    <t>Bis wann, muss was von wem entschieden werden?</t>
  </si>
  <si>
    <t>Welche Schlüsse können gezogen werden?</t>
  </si>
  <si>
    <t>Evt. persönliche Anmerkungen?</t>
  </si>
  <si>
    <t>Mindestens: Projektauftrag, Detailplan, Projektteam, Budget, Projektstand</t>
  </si>
  <si>
    <t xml:space="preserve"> Management Summary</t>
  </si>
  <si>
    <t>Meilensteine</t>
  </si>
  <si>
    <t>Vorgehen?</t>
  </si>
  <si>
    <t>Befunde/Lösungen?</t>
  </si>
  <si>
    <t>Was soll vom Auftraggeber aufgrund dieses Konzepts entschieden werden (z.B. Go/No Go)?</t>
  </si>
  <si>
    <t>Fazit?</t>
  </si>
  <si>
    <t>Organisation et planification</t>
  </si>
  <si>
    <t>Mise en pratique</t>
  </si>
  <si>
    <t>Facteurs de succès et risques</t>
  </si>
  <si>
    <t>Assurance de la qualité et controlling</t>
  </si>
  <si>
    <t>Conclusions</t>
  </si>
  <si>
    <t>Résumer l’essentiel sur max. une page :</t>
  </si>
  <si>
    <t>Jalons ?</t>
  </si>
  <si>
    <t>Démarche ?</t>
  </si>
  <si>
    <t>Résultats/solutions ?</t>
  </si>
  <si>
    <t>Que doit décider le mandant sur la base de ce concept (par ex. Go/No Go) ?</t>
  </si>
  <si>
    <t>Conclusions ?</t>
  </si>
  <si>
    <t>Qu’est-ce qui a été fait jusqu'à maintenant ? Etat actuel ? Problèmes ?</t>
  </si>
  <si>
    <t>Organigramme du projet ? Partenaires du projet ?</t>
  </si>
  <si>
    <t>Quelle est la planification détaillée ?  Qui fait quoi ? Quand ?</t>
  </si>
  <si>
    <t>Ressources internes ?</t>
  </si>
  <si>
    <t>Ressources externes ?</t>
  </si>
  <si>
    <t>(Base = solution proposée dans le concept sommaire)</t>
  </si>
  <si>
    <t>Quelle est la démarche prévue ?</t>
  </si>
  <si>
    <t>Comment est-elle mise en pratique ?</t>
  </si>
  <si>
    <t>Quels sont les risques ?</t>
  </si>
  <si>
    <t>Quelles sont les mesures à prendre pour minimiser les risques ?</t>
  </si>
  <si>
    <t>Comment l’assurance de la qualité est-celle mise en œuvre ?</t>
  </si>
  <si>
    <t>Quelle forme le controlling prend-il ?</t>
  </si>
  <si>
    <t>Qui doit prendre quelles décisions pour quand ?</t>
  </si>
  <si>
    <t>Quelles conclusions peuvent être tirées ?</t>
  </si>
  <si>
    <t>Commentaires personnels ?</t>
  </si>
  <si>
    <t>Au moins : mandat de projet, plan détaillé, équipe de projet, budget, état du projet.</t>
  </si>
  <si>
    <t>P R O J E K T A U F T R A G</t>
  </si>
  <si>
    <t>M A N D A T   D E   P R O J E T</t>
  </si>
  <si>
    <t>P L A N I F I C A T I O N    D É T A I L L É E</t>
  </si>
  <si>
    <t>D E T A I L P L A N U N G</t>
  </si>
  <si>
    <t xml:space="preserve"> P R O J E K T S T A N D</t>
  </si>
  <si>
    <t>E T A T  D U  P R O J E T</t>
  </si>
  <si>
    <t>S C H L U S S B E R I C H T</t>
  </si>
  <si>
    <t>R A P P O R T   F I N A L</t>
  </si>
  <si>
    <t>E Q U I P E  D E  P R O J E T</t>
  </si>
  <si>
    <t>P R O J E K T T E A M</t>
  </si>
  <si>
    <t>G R O B K O N Z E P T</t>
  </si>
  <si>
    <t>C O N C E P T   S O M M A I R E</t>
  </si>
  <si>
    <t>D E T A I L K O N Z E P T</t>
  </si>
  <si>
    <t>C O N C E P T  D É T A I L L É</t>
  </si>
  <si>
    <t xml:space="preserve">  Aujourd'hui</t>
  </si>
  <si>
    <t xml:space="preserve">  Heute</t>
  </si>
  <si>
    <t>S W O T - A N A L Y S E</t>
  </si>
  <si>
    <t>A N A L Y S E   S W O T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</si>
  <si>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</si>
  <si>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</si>
  <si>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</si>
  <si>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</si>
  <si>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</si>
  <si>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</si>
  <si>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</si>
  <si>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</si>
  <si>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</si>
  <si>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</si>
  <si>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</si>
  <si>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</si>
  <si>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</si>
  <si>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</si>
  <si>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</si>
  <si>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Eintretenswahrscheinlichkeit</t>
  </si>
  <si>
    <t>Probabilité d'occurrence</t>
  </si>
  <si>
    <t>hoch</t>
  </si>
  <si>
    <t>élevée</t>
  </si>
  <si>
    <t>mittel</t>
  </si>
  <si>
    <t>moyenne</t>
  </si>
  <si>
    <t>gering</t>
  </si>
  <si>
    <t>faible</t>
  </si>
  <si>
    <t>Schadensausmass</t>
  </si>
  <si>
    <t>Étendue des dégâts</t>
  </si>
  <si>
    <t>Kein Handlungsbedarf</t>
  </si>
  <si>
    <t>Aucune action nécessaire</t>
  </si>
  <si>
    <t>Handlungsbedarf</t>
  </si>
  <si>
    <t>Action nécessaire</t>
  </si>
  <si>
    <t>Akuter Handlungsbedarf</t>
  </si>
  <si>
    <t>Action urgente</t>
  </si>
  <si>
    <t>Nr.</t>
  </si>
  <si>
    <t>No.</t>
  </si>
  <si>
    <t>Risiko</t>
  </si>
  <si>
    <t>Risque</t>
  </si>
  <si>
    <t>Auswirkungen</t>
  </si>
  <si>
    <t>Impact</t>
  </si>
  <si>
    <t>Eintretens-wahrscheinlich-keit</t>
  </si>
  <si>
    <t>Schadens-ausmass</t>
  </si>
  <si>
    <t>Étendue des dommages</t>
  </si>
  <si>
    <t>Trend</t>
  </si>
  <si>
    <t>Ten-
dance</t>
  </si>
  <si>
    <t>Mögliche Massnahmen</t>
  </si>
  <si>
    <t>Mesures possibles</t>
  </si>
  <si>
    <t>Status</t>
  </si>
  <si>
    <t>Statut</t>
  </si>
  <si>
    <t>Ausmass der Auswirkungen</t>
  </si>
  <si>
    <t>Étendue de l'impact</t>
  </si>
  <si>
    <t>Technische Machbarkeit</t>
  </si>
  <si>
    <t>Wirtschaftliche Machbarkeit</t>
  </si>
  <si>
    <t>Ressourcen und Zeit</t>
  </si>
  <si>
    <t>Organisatorische Machbarkeit</t>
  </si>
  <si>
    <t>Rechtliche Machbarkeit</t>
  </si>
  <si>
    <t>Faisabilité organisationnelle</t>
  </si>
  <si>
    <t>Faisabilité économique</t>
  </si>
  <si>
    <t>Faisabilité technique</t>
  </si>
  <si>
    <t>Ressources et temps</t>
  </si>
  <si>
    <t>Faisabilité juridique</t>
  </si>
  <si>
    <t>Bezeichnung</t>
  </si>
  <si>
    <t>Désignation</t>
  </si>
  <si>
    <t>Gefahren-grad</t>
  </si>
  <si>
    <t>Degré de danger</t>
  </si>
  <si>
    <t>Durchschnitt</t>
  </si>
  <si>
    <t>Moyenne</t>
  </si>
  <si>
    <t>Impact sur le projet</t>
  </si>
  <si>
    <t>Einfluss auf das Projekt</t>
  </si>
  <si>
    <t>A N A L Y S E   D U   R I S Q U E</t>
  </si>
  <si>
    <t>R I S I K O A N A L Y S E</t>
  </si>
  <si>
    <t>Verschiedenes</t>
  </si>
  <si>
    <t>Divers</t>
  </si>
  <si>
    <t>P R O J E K T M A N A G E M E N T</t>
  </si>
  <si>
    <t>Italiano</t>
  </si>
  <si>
    <t>English</t>
  </si>
  <si>
    <t>s1</t>
  </si>
  <si>
    <t>w1</t>
  </si>
  <si>
    <t>s2</t>
  </si>
  <si>
    <t>w2</t>
  </si>
  <si>
    <t>s3</t>
  </si>
  <si>
    <t>w3</t>
  </si>
  <si>
    <t>s4</t>
  </si>
  <si>
    <t>w4</t>
  </si>
  <si>
    <t>s5</t>
  </si>
  <si>
    <t>w5</t>
  </si>
  <si>
    <t>s6</t>
  </si>
  <si>
    <t>w6</t>
  </si>
  <si>
    <t>s7</t>
  </si>
  <si>
    <t>w7</t>
  </si>
  <si>
    <t>s8</t>
  </si>
  <si>
    <t>w8</t>
  </si>
  <si>
    <t>s9</t>
  </si>
  <si>
    <t>w9</t>
  </si>
  <si>
    <t>s10</t>
  </si>
  <si>
    <t>w10</t>
  </si>
  <si>
    <t>s11</t>
  </si>
  <si>
    <t>w11</t>
  </si>
  <si>
    <t>s12</t>
  </si>
  <si>
    <t>w12</t>
  </si>
  <si>
    <t>s13</t>
  </si>
  <si>
    <t>w13</t>
  </si>
  <si>
    <t>s14</t>
  </si>
  <si>
    <t>w14</t>
  </si>
  <si>
    <t>s15</t>
  </si>
  <si>
    <t>w15</t>
  </si>
  <si>
    <t>s16</t>
  </si>
  <si>
    <t>w16</t>
  </si>
  <si>
    <t>s17</t>
  </si>
  <si>
    <t>w17</t>
  </si>
  <si>
    <t>s18</t>
  </si>
  <si>
    <t>w18</t>
  </si>
  <si>
    <t>o1</t>
  </si>
  <si>
    <t>t1</t>
  </si>
  <si>
    <t>o2</t>
  </si>
  <si>
    <t>t2</t>
  </si>
  <si>
    <t>o3</t>
  </si>
  <si>
    <t>t3</t>
  </si>
  <si>
    <t>o4</t>
  </si>
  <si>
    <t>t4</t>
  </si>
  <si>
    <t>o5</t>
  </si>
  <si>
    <t>t5</t>
  </si>
  <si>
    <t>o6</t>
  </si>
  <si>
    <t>t6</t>
  </si>
  <si>
    <t>o7</t>
  </si>
  <si>
    <t>t7</t>
  </si>
  <si>
    <t>o8</t>
  </si>
  <si>
    <t>t8</t>
  </si>
  <si>
    <t>o9</t>
  </si>
  <si>
    <t>t9</t>
  </si>
  <si>
    <t>o10</t>
  </si>
  <si>
    <t>t10</t>
  </si>
  <si>
    <t>o11</t>
  </si>
  <si>
    <t>t11</t>
  </si>
  <si>
    <t>o12</t>
  </si>
  <si>
    <t>t12</t>
  </si>
  <si>
    <t>o13</t>
  </si>
  <si>
    <t>t13</t>
  </si>
  <si>
    <t>o14</t>
  </si>
  <si>
    <t>t14</t>
  </si>
  <si>
    <t>o15</t>
  </si>
  <si>
    <t>t15</t>
  </si>
  <si>
    <t>o16</t>
  </si>
  <si>
    <t>t16</t>
  </si>
  <si>
    <t>o17</t>
  </si>
  <si>
    <t>t17</t>
  </si>
  <si>
    <t>o18</t>
  </si>
  <si>
    <t>t18</t>
  </si>
  <si>
    <t>Mettre en œuvre le concept détaillé</t>
  </si>
  <si>
    <t>Ouvrir modèle en MS Word &gt;&gt;</t>
  </si>
  <si>
    <t> Messaggi di errore</t>
  </si>
  <si>
    <t>Garanzia della qualità e controlling </t>
  </si>
  <si>
    <t>No. de projet :</t>
  </si>
  <si>
    <t>Reale</t>
  </si>
  <si>
    <t>S T A T O   D E L   P R O G E T T O</t>
  </si>
  <si>
    <t>P I A N I F I C A Z I O N E   D E T T A G L I A T A</t>
  </si>
  <si>
    <t>M A N D A T O   D E L   P R O G E T T O</t>
  </si>
  <si>
    <t>G E S T I O N E   D I   P R O G E T T I</t>
  </si>
  <si>
    <t>R A P P O R T O   F I N A LE</t>
  </si>
  <si>
    <t>T E A M   D E L   P R O G E T T O</t>
  </si>
  <si>
    <t>A N A L I S I   S W O T</t>
  </si>
  <si>
    <t>A N A L I S I   D E L   R I S C H I O</t>
  </si>
  <si>
    <t>Probabilità di occorrenza</t>
  </si>
  <si>
    <t>Elevata</t>
  </si>
  <si>
    <t>Media</t>
  </si>
  <si>
    <t>Bassa</t>
  </si>
  <si>
    <t>Opportunità</t>
  </si>
  <si>
    <t>Entità dei danni</t>
  </si>
  <si>
    <t>Nessun intervento necessario</t>
  </si>
  <si>
    <t>Intervento necessario</t>
  </si>
  <si>
    <t>Intervento urgente</t>
  </si>
  <si>
    <t>N°</t>
  </si>
  <si>
    <t>Rischio</t>
  </si>
  <si>
    <t>Effetti</t>
  </si>
  <si>
    <t>Provvedimenti possibili</t>
  </si>
  <si>
    <t>Entità degli effetti</t>
  </si>
  <si>
    <t>Ten-
denza</t>
  </si>
  <si>
    <t>Fattibilità organizzativa</t>
  </si>
  <si>
    <t>Fattibilità economica</t>
  </si>
  <si>
    <t>Fattibilità tecnica</t>
  </si>
  <si>
    <t>Risorse e tempo</t>
  </si>
  <si>
    <t>Fattibilità giuridica</t>
  </si>
  <si>
    <t>Nome</t>
  </si>
  <si>
    <t>Grado di pericolo</t>
  </si>
  <si>
    <t>Impatto sul progetto</t>
  </si>
  <si>
    <t>Inizializzazione</t>
  </si>
  <si>
    <t>Pianificazione</t>
  </si>
  <si>
    <t>Realizzazione</t>
  </si>
  <si>
    <t>Conclusione</t>
  </si>
  <si>
    <t>Analisi del problema</t>
  </si>
  <si>
    <t>Mandato del progetto</t>
  </si>
  <si>
    <t>Team del progetto</t>
  </si>
  <si>
    <t>Pianificazione sommaria</t>
  </si>
  <si>
    <t>Definire i sottoprogetti</t>
  </si>
  <si>
    <t>Definire le responsabilità</t>
  </si>
  <si>
    <t>Definizione delle interfacce</t>
  </si>
  <si>
    <t>Definizione dei lavori</t>
  </si>
  <si>
    <t>Pianificazione dettagliata</t>
  </si>
  <si>
    <t>Progetto sommario</t>
  </si>
  <si>
    <t>Progetto sommario Go/NoGo</t>
  </si>
  <si>
    <t>Progetto dettagliato</t>
  </si>
  <si>
    <t>Attuare il progetto dettagliato</t>
  </si>
  <si>
    <t>Monitoraggio del progetto</t>
  </si>
  <si>
    <t>Assicurare i risultati parziali</t>
  </si>
  <si>
    <t>Aggiornare la pianificazione</t>
  </si>
  <si>
    <t>Informare il committente</t>
  </si>
  <si>
    <t>Rapporto finale</t>
  </si>
  <si>
    <t>Chiusura del progetto</t>
  </si>
  <si>
    <t>Assicurare i risultati</t>
  </si>
  <si>
    <t>Mandato</t>
  </si>
  <si>
    <t>Progetto</t>
  </si>
  <si>
    <t>Numero di progetto:</t>
  </si>
  <si>
    <t>Inizio:</t>
  </si>
  <si>
    <t>Fine:</t>
  </si>
  <si>
    <t>Committente:</t>
  </si>
  <si>
    <t>Capoprogetto:</t>
  </si>
  <si>
    <t>Reparto:</t>
  </si>
  <si>
    <t>modificato il:</t>
  </si>
  <si>
    <t>Sostituto:</t>
  </si>
  <si>
    <t>Obiettivo strategico</t>
  </si>
  <si>
    <t>Obiettivi del progetto (SMART = specifico, misurabile, accettabile, realistico, tempificato)</t>
  </si>
  <si>
    <t>Budget / Risorse / Persone</t>
  </si>
  <si>
    <t>Spese per il personale</t>
  </si>
  <si>
    <t>v. dettaglio “Team del progetto”</t>
  </si>
  <si>
    <t>Diversi 1:</t>
  </si>
  <si>
    <t>v. dettaglio “Budget del progetto (interno)”</t>
  </si>
  <si>
    <t>Diversi 2:</t>
  </si>
  <si>
    <t>v. dettaglio “Budget del progetto (esterno)”</t>
  </si>
  <si>
    <t>Diversi 3:</t>
  </si>
  <si>
    <t>Quando?</t>
  </si>
  <si>
    <t>Che cosa?</t>
  </si>
  <si>
    <t>Chi?</t>
  </si>
  <si>
    <t>Approvato?</t>
  </si>
  <si>
    <t>Osservazioni/Allegati</t>
  </si>
  <si>
    <t>Discutere il mandato e farlo firmare dal committente</t>
  </si>
  <si>
    <t>Allestita la pianificazione dettagliata e Go/No Go  del committente</t>
  </si>
  <si>
    <t>Allestito il progetto sommario e Go/No Go  del/della committente</t>
  </si>
  <si>
    <t>Allestito il progetto dettagliato e Go/No Go del/della  committente</t>
  </si>
  <si>
    <t>Rapporto intermedio mensile all’attenzione del/della committente</t>
  </si>
  <si>
    <t>Rapporto finale all’attenzione del/della committente</t>
  </si>
  <si>
    <t>Data</t>
  </si>
  <si>
    <t>Firma del/della committente</t>
  </si>
  <si>
    <t>Firma del/della responsabile di progetto</t>
  </si>
  <si>
    <t>Settimana</t>
  </si>
  <si>
    <t>Inizio</t>
  </si>
  <si>
    <t>Fine</t>
  </si>
  <si>
    <t>Ore di lavoro</t>
  </si>
  <si>
    <t>Giorni di lavoro (8 ore)</t>
  </si>
  <si>
    <t>FASE D‘INIZIALIZZAZIONE</t>
  </si>
  <si>
    <t>FASE DI PIANIFICAZIONE</t>
  </si>
  <si>
    <t>FASE DI REALIZZAZIONE</t>
  </si>
  <si>
    <t>FASE CONCLUSIVA</t>
  </si>
  <si>
    <t>Sì</t>
  </si>
  <si>
    <t>FASE DI IDEAZIONE</t>
  </si>
  <si>
    <t>Diversi</t>
  </si>
  <si>
    <t>Selezionare</t>
  </si>
  <si>
    <t>Oggi</t>
  </si>
  <si>
    <t>Filtro:</t>
  </si>
  <si>
    <t>In %</t>
  </si>
  <si>
    <t>Valutazione generale (1 = si svolge come previsto; 2 = da tenere sotto controllo; 3 = critico)</t>
  </si>
  <si>
    <t>Progetto globale</t>
  </si>
  <si>
    <t>Budget/Risorse</t>
  </si>
  <si>
    <t>Qualità/Obiettivi</t>
  </si>
  <si>
    <t>Scadenze/Pianificaz.</t>
  </si>
  <si>
    <t>Si svolge come previsto</t>
  </si>
  <si>
    <t>Critico</t>
  </si>
  <si>
    <t>Da tenere sotto controllo</t>
  </si>
  <si>
    <t>Osservazioni</t>
  </si>
  <si>
    <t>PIANIFICAZIONE</t>
  </si>
  <si>
    <t>SITUAZIONE REALE</t>
  </si>
  <si>
    <t>Il progetto ha avuto esito positivo?</t>
  </si>
  <si>
    <t>Motivazione:</t>
  </si>
  <si>
    <t>Tutti gli obiettivi sono stati raggiunti?</t>
  </si>
  <si>
    <t>In parte</t>
  </si>
  <si>
    <t>Il budget è stato rispettato?</t>
  </si>
  <si>
    <t>No</t>
  </si>
  <si>
    <t>Cognome</t>
  </si>
  <si>
    <t>Sigla</t>
  </si>
  <si>
    <t>Mail</t>
  </si>
  <si>
    <t>Telefono</t>
  </si>
  <si>
    <t>Assenze/Osservazioni</t>
  </si>
  <si>
    <t>Funzione</t>
  </si>
  <si>
    <t>Titolo</t>
  </si>
  <si>
    <t>Prezzo unitario</t>
  </si>
  <si>
    <t>Quant.</t>
  </si>
  <si>
    <t>Costi (interni)</t>
  </si>
  <si>
    <t>Si prega di immettere la data dell’inizio del progetto nel mandato!</t>
  </si>
  <si>
    <t>Indice</t>
  </si>
  <si>
    <t>Situazione iniziale</t>
  </si>
  <si>
    <t>Organizzazione del progetto e pietre miliari</t>
  </si>
  <si>
    <t>Budget sommario</t>
  </si>
  <si>
    <t>Soluzioni possibili</t>
  </si>
  <si>
    <t>Continuazione</t>
  </si>
  <si>
    <t>Allegato</t>
  </si>
  <si>
    <t>Aprire modello in MS Word</t>
  </si>
  <si>
    <t>Sintetizzare l’essenziale al max. su mezza pagina:</t>
  </si>
  <si>
    <t>Situazione iniziale e problematica?</t>
  </si>
  <si>
    <t>Obiettivi del progetto?</t>
  </si>
  <si>
    <t>Risultati attesi?</t>
  </si>
  <si>
    <t>Proposta di una soluzione?</t>
  </si>
  <si>
    <t>Che cosa deve decidere il committente ed entro quando?</t>
  </si>
  <si>
    <t>Chi è il committente?</t>
  </si>
  <si>
    <t>Breve descrizione della problematica.</t>
  </si>
  <si>
    <t>Quali sono gli obiettivi del progetto?</t>
  </si>
  <si>
    <t>Quali sono i risultati attesi (plausibili)?</t>
  </si>
  <si>
    <t>Quali sono i fattori di successo?</t>
  </si>
  <si>
    <t>Quali sono i rischi?</t>
  </si>
  <si>
    <t>Organigramma del progetto?</t>
  </si>
  <si>
    <t>Chi partecipa al progetto? Chi si assume le responsabilità e quali (responsabilità, competenze)?</t>
  </si>
  <si>
    <t>Quali sono le pietre miliari?</t>
  </si>
  <si>
    <t>Come si presenta la pianificazione sommaria?</t>
  </si>
  <si>
    <t>Qual è la strategia di informazione/comunicazione sullo svolgimento del progetto?</t>
  </si>
  <si>
    <t>Risorse interne (numero di mezze giornate, ev. calcolare gli importi in franchi)?</t>
  </si>
  <si>
    <t>Costi esterni?</t>
  </si>
  <si>
    <t>Proporre diverse soluzioni.</t>
  </si>
  <si>
    <t>Valutazione delle varianti (vantaggi e svantaggi)?</t>
  </si>
  <si>
    <t>Proposta di una variante</t>
  </si>
  <si>
    <t>Come continua il progetto? Proposta?</t>
  </si>
  <si>
    <t>Entro quando devono essere prese le decisioni e quali?</t>
  </si>
  <si>
    <t>Minimo: mandato del progetto, pianificazione sommaria, team del progetto, budget sommario</t>
  </si>
  <si>
    <t>Organizzazione e pianificazione</t>
  </si>
  <si>
    <t>Risorse</t>
  </si>
  <si>
    <t>Attuazione</t>
  </si>
  <si>
    <t>Fattori di successo e rischi</t>
  </si>
  <si>
    <t>Garanzia della qualità e controlling</t>
  </si>
  <si>
    <t>Sintetizzare l’essenziale su max. una pagina</t>
  </si>
  <si>
    <t>Pietre miliari</t>
  </si>
  <si>
    <t>Procedimento?</t>
  </si>
  <si>
    <t>Esiti/Soluzioni?</t>
  </si>
  <si>
    <t>Che cosa deve decidere il committente sulla base di questo progetto (ad es. Go/No Go)?</t>
  </si>
  <si>
    <t>Conclusione?</t>
  </si>
  <si>
    <t>Breve descrizione della problematica</t>
  </si>
  <si>
    <t>Che cosa è stato fatto sinora? Stato attuale? Problemi?</t>
  </si>
  <si>
    <t>Organigramma del progetto? Partner del progetto?</t>
  </si>
  <si>
    <t>Chi collabora al progetto? Chi è responsabile di che cosa (responsabilità, competenze)?</t>
  </si>
  <si>
    <t>Come si presenta la pianificazione dettagliata? Chi fa che cosa? Quando?</t>
  </si>
  <si>
    <t>Qual è la strategia di informazione/comunicazione relativa al progetto?</t>
  </si>
  <si>
    <t>Risorse interne?</t>
  </si>
  <si>
    <t>Risorse esterne?</t>
  </si>
  <si>
    <t>(Base = variante proposta nel progetto sommario)</t>
  </si>
  <si>
    <t>Qual è il procedimento previsto?</t>
  </si>
  <si>
    <t>Come viene attuato?</t>
  </si>
  <si>
    <t>Quali misure devono essere adottate per minimizzare i rischi?</t>
  </si>
  <si>
    <t>Come viene realizzata la garanzia della qualità?</t>
  </si>
  <si>
    <t>Come si articola il controlling?</t>
  </si>
  <si>
    <t>Chi deve decidere che cosa ed entro quando?</t>
  </si>
  <si>
    <t>Quali conclusioni possono essere tratte?</t>
  </si>
  <si>
    <t>Osservazioni personali?</t>
  </si>
  <si>
    <t>Minimo: mandato del progetto, pianificazione dettagliata, team del progetto, budget, stato del progetto</t>
  </si>
  <si>
    <t>C O N C E T T O   D E T T A G L I A T O</t>
  </si>
  <si>
    <t>C O N C E T T O   S O M M A R I O</t>
  </si>
  <si>
    <t>Planning</t>
  </si>
  <si>
    <t>Implementation</t>
  </si>
  <si>
    <t>Conclusion</t>
  </si>
  <si>
    <t>Problem analysis</t>
  </si>
  <si>
    <t>SWOT analysis</t>
  </si>
  <si>
    <t>Project charter</t>
  </si>
  <si>
    <t>Project team</t>
  </si>
  <si>
    <t>Rough planning</t>
  </si>
  <si>
    <t>Define sub-projects</t>
  </si>
  <si>
    <t>Determine responsibilities</t>
  </si>
  <si>
    <t>Determine interfaces</t>
  </si>
  <si>
    <t>Determine working packages</t>
  </si>
  <si>
    <t>Detailed planning</t>
  </si>
  <si>
    <t>Rough concept</t>
  </si>
  <si>
    <t>Go/NoGo rough concept</t>
  </si>
  <si>
    <t>Detailed concept</t>
  </si>
  <si>
    <t>Implement detailed concept</t>
  </si>
  <si>
    <t>Project monitoring</t>
  </si>
  <si>
    <t>Ensure partial results</t>
  </si>
  <si>
    <t>Update planning activities</t>
  </si>
  <si>
    <t>Inform client</t>
  </si>
  <si>
    <t>Final report</t>
  </si>
  <si>
    <t>Project termination</t>
  </si>
  <si>
    <t>Ensure results</t>
  </si>
  <si>
    <t>P R O J E C T   C H A R T E R</t>
  </si>
  <si>
    <t>Project number:</t>
  </si>
  <si>
    <t>Start:</t>
  </si>
  <si>
    <t>Finish:</t>
  </si>
  <si>
    <t>Project title:</t>
  </si>
  <si>
    <t>Client:</t>
  </si>
  <si>
    <t>Project manager:</t>
  </si>
  <si>
    <t>Department:</t>
  </si>
  <si>
    <t>Modified on:</t>
  </si>
  <si>
    <t>Deputy:</t>
  </si>
  <si>
    <t>Strategic goal:</t>
  </si>
  <si>
    <t>Project goals (SMART = specific, measurable, attainable, relevant, time-bound)</t>
  </si>
  <si>
    <t>Budget / Resources / Persons</t>
  </si>
  <si>
    <t>Personnel costs</t>
  </si>
  <si>
    <t>Compare detail project team</t>
  </si>
  <si>
    <t>Diverse 1:</t>
  </si>
  <si>
    <t>Compare project budget (internal)</t>
  </si>
  <si>
    <t>Diverse 2:</t>
  </si>
  <si>
    <t>Compare detail project budget (external)</t>
  </si>
  <si>
    <t>Diverse 3:</t>
  </si>
  <si>
    <t>When?</t>
  </si>
  <si>
    <t>What?</t>
  </si>
  <si>
    <t>Who?</t>
  </si>
  <si>
    <t>Approved?</t>
  </si>
  <si>
    <t xml:space="preserve">Discuss project charter and have it signed by client </t>
  </si>
  <si>
    <t>Detailed planning drawn up and Go/NoGo from client</t>
  </si>
  <si>
    <t>Rough concept drawn up and Go/NoGo from client</t>
  </si>
  <si>
    <t>Detailed concept drawn up and Go/NoGo from client</t>
  </si>
  <si>
    <t>Monthly interim report to client</t>
  </si>
  <si>
    <t>Final report to client</t>
  </si>
  <si>
    <t>Client signature</t>
  </si>
  <si>
    <t>Project manager signature</t>
  </si>
  <si>
    <t>Week</t>
  </si>
  <si>
    <t>Start</t>
  </si>
  <si>
    <t>Finish</t>
  </si>
  <si>
    <t>Working hours</t>
  </si>
  <si>
    <t>Working days</t>
  </si>
  <si>
    <t>INITIALISATION STAGE</t>
  </si>
  <si>
    <t>PLANNING STAGE</t>
  </si>
  <si>
    <t>CONCEPTUAL STAGE</t>
  </si>
  <si>
    <t xml:space="preserve">IMPLEMENTATION STAGE </t>
  </si>
  <si>
    <t>CONCLUSION STAGE</t>
  </si>
  <si>
    <t>Yes</t>
  </si>
  <si>
    <t>Diverse</t>
  </si>
  <si>
    <t>D E T A I L E D   P L A N N I N G</t>
  </si>
  <si>
    <t>Sort</t>
  </si>
  <si>
    <t>Today</t>
  </si>
  <si>
    <t xml:space="preserve">Detailed planning </t>
  </si>
  <si>
    <t>Responsible</t>
  </si>
  <si>
    <t xml:space="preserve"> P R O J E C T   S T A T U S</t>
  </si>
  <si>
    <t>General Evaluation (1 = proceeding according to plan, 2 = be watchful = 3 critical)</t>
  </si>
  <si>
    <t>Budget/Resources</t>
  </si>
  <si>
    <t>Quality/Goals</t>
  </si>
  <si>
    <t>Deadlines/Planning</t>
  </si>
  <si>
    <t>Proceeding according to plan</t>
  </si>
  <si>
    <t>Critical</t>
  </si>
  <si>
    <t>Be watchful</t>
  </si>
  <si>
    <t>Remarks</t>
  </si>
  <si>
    <t>ACTUAL STATE</t>
  </si>
  <si>
    <t>BALANCE</t>
  </si>
  <si>
    <t xml:space="preserve"> In %</t>
  </si>
  <si>
    <t>F I N A L   R E P O R T</t>
  </si>
  <si>
    <t>Reason:</t>
  </si>
  <si>
    <t>Have all project goals been reached?</t>
  </si>
  <si>
    <t>Partially</t>
  </si>
  <si>
    <t>Was the budget observed?</t>
  </si>
  <si>
    <t>P R O J E C T   T E A M</t>
  </si>
  <si>
    <t>First name</t>
  </si>
  <si>
    <t>Initials</t>
  </si>
  <si>
    <t>Email</t>
  </si>
  <si>
    <t>Telephone</t>
  </si>
  <si>
    <t>Absence/Remarks</t>
  </si>
  <si>
    <t xml:space="preserve"> Function</t>
  </si>
  <si>
    <t xml:space="preserve"> B U D G E T</t>
  </si>
  <si>
    <t>Title</t>
  </si>
  <si>
    <t>Standard price</t>
  </si>
  <si>
    <t>Amount</t>
  </si>
  <si>
    <t>Costs (internal)</t>
  </si>
  <si>
    <t>Actual state</t>
  </si>
  <si>
    <t>Balance</t>
  </si>
  <si>
    <t>E R R O R   M E S S A G E S</t>
  </si>
  <si>
    <t>Please fill in date of project start in project charter!!</t>
  </si>
  <si>
    <t xml:space="preserve"> </t>
  </si>
  <si>
    <t>R O U G H   C O N C E PT</t>
  </si>
  <si>
    <t>Table of contents</t>
  </si>
  <si>
    <t>Management summary</t>
  </si>
  <si>
    <t>Existing situation</t>
  </si>
  <si>
    <t>Rough budget</t>
  </si>
  <si>
    <t xml:space="preserve">Possible solutions </t>
  </si>
  <si>
    <t>Approach</t>
  </si>
  <si>
    <t>Open MS Word template &gt;&gt;</t>
  </si>
  <si>
    <t xml:space="preserve">Summarize main features on max. half a page: </t>
  </si>
  <si>
    <t>Existing situation and problem?</t>
  </si>
  <si>
    <t>Project goals?</t>
  </si>
  <si>
    <t>Expected results</t>
  </si>
  <si>
    <t>Proposal of a solution?</t>
  </si>
  <si>
    <t>What decisions does the client have to reach and by when?</t>
  </si>
  <si>
    <t xml:space="preserve">Short definition of problem </t>
  </si>
  <si>
    <t>What are the project goals?</t>
  </si>
  <si>
    <t>What are the expected results (deliverable)?</t>
  </si>
  <si>
    <t>What are the success factors?</t>
  </si>
  <si>
    <t>What are the risks?</t>
  </si>
  <si>
    <t xml:space="preserve">Who is working on the project? Who is responsible for what (responsibilities, authority)? </t>
  </si>
  <si>
    <t>Which milestones are there?</t>
  </si>
  <si>
    <t>What does the rough planning look like?</t>
  </si>
  <si>
    <t>What is the information policy on the course of the project, how will it be communicated?</t>
  </si>
  <si>
    <t>Internal resources (amount of half days, perhaps converted into Francs)?</t>
  </si>
  <si>
    <t>External costs?</t>
  </si>
  <si>
    <t>Possible solutions</t>
  </si>
  <si>
    <t>Propose various solutions.</t>
  </si>
  <si>
    <t>Assessment of solutions (advantages and disadvantages)?</t>
  </si>
  <si>
    <t>Suggest a solution.</t>
  </si>
  <si>
    <t>What are the next steps? Suggestion?</t>
  </si>
  <si>
    <t>What has to be decided by when?</t>
  </si>
  <si>
    <t>Minimum: project charter, rough planning, project team, rough budget</t>
  </si>
  <si>
    <t>D E T A I L E D   C O N C E P T</t>
  </si>
  <si>
    <t>Resources</t>
  </si>
  <si>
    <t>Quality assurance and controlling</t>
  </si>
  <si>
    <t>Summarize main features on max. half a page:</t>
  </si>
  <si>
    <t>Milestones?</t>
  </si>
  <si>
    <t>Results/solutions?</t>
  </si>
  <si>
    <t>What does the client have to decide as a result of this concept (e.g. Go/NoGo)?</t>
  </si>
  <si>
    <t>Conclusion?</t>
  </si>
  <si>
    <t xml:space="preserve">Existing situation </t>
  </si>
  <si>
    <t xml:space="preserve">Short description of problem. </t>
  </si>
  <si>
    <t>What action has been taken so far? Status? Problems?</t>
  </si>
  <si>
    <t>Who is working on the project? Who is responsible for what (responsibilities, authority)?</t>
  </si>
  <si>
    <t>What are the milestones?</t>
  </si>
  <si>
    <t>What does the detailed planning look like? Who does what? When?</t>
  </si>
  <si>
    <t>Internal resources?</t>
  </si>
  <si>
    <t>External resources?</t>
  </si>
  <si>
    <t>(Basis = suggested solution from rough concept)</t>
  </si>
  <si>
    <t>What is the planned approach?</t>
  </si>
  <si>
    <t>How will implementation be effected?</t>
  </si>
  <si>
    <t>Success factors and risks</t>
  </si>
  <si>
    <t xml:space="preserve">Which measures have to be taken to minimize risks? </t>
  </si>
  <si>
    <t>How is quality assurance effected?</t>
  </si>
  <si>
    <t>How is controlling performed?</t>
  </si>
  <si>
    <t>What has to be decided by whom by when?</t>
  </si>
  <si>
    <t>Which conclusions can be reached?</t>
  </si>
  <si>
    <t>Personal remarks?</t>
  </si>
  <si>
    <t>Minimum: project charter, detailed planning, project team, budget, project status</t>
  </si>
  <si>
    <t>S W O T   A N A L Y S I S</t>
  </si>
  <si>
    <t>Opportunities</t>
  </si>
  <si>
    <t>R I S K   A N A L Y S I S</t>
  </si>
  <si>
    <t>High</t>
  </si>
  <si>
    <t>Medium</t>
  </si>
  <si>
    <t>Low</t>
  </si>
  <si>
    <t>Extent of damage</t>
  </si>
  <si>
    <t>No need for action</t>
  </si>
  <si>
    <t>Need for action</t>
  </si>
  <si>
    <t>Urgent need for action</t>
  </si>
  <si>
    <t>Risk</t>
  </si>
  <si>
    <t>Consequences</t>
  </si>
  <si>
    <t>Possible measures</t>
  </si>
  <si>
    <t>Extent of consequences</t>
  </si>
  <si>
    <t>Economic feasibility</t>
  </si>
  <si>
    <t>Technical feasibility</t>
  </si>
  <si>
    <t>Resources and time</t>
  </si>
  <si>
    <t>Legal feasibility</t>
  </si>
  <si>
    <t>Influence on the project</t>
  </si>
  <si>
    <t>Average</t>
  </si>
  <si>
    <t xml:space="preserve">P R O J E C T   M A N A G E M E N T
</t>
  </si>
  <si>
    <t>Nom du projet :</t>
  </si>
  <si>
    <t>Remplaçant/e :</t>
  </si>
  <si>
    <t>Divers 2 :</t>
  </si>
  <si>
    <t>Divers 3 :</t>
  </si>
  <si>
    <t>Filtre :</t>
  </si>
  <si>
    <t>Rapport intermédiaire mensuel à l'attention du mandant</t>
  </si>
  <si>
    <t>Evaluation générale (1 = se déroule comme prévu ; 2 = à surveiller ; 3 = critique)</t>
  </si>
  <si>
    <t>Allgemeine Beurteilung (1 = läuft planmässig; 2 = im Auge behalten; 3 = kritisch)</t>
  </si>
  <si>
    <t>Overall project</t>
  </si>
  <si>
    <t>Was the project successful?</t>
  </si>
  <si>
    <t>Fonction</t>
  </si>
  <si>
    <t>Nb.</t>
  </si>
  <si>
    <t>Project organization and milestones</t>
  </si>
  <si>
    <t>Who is the client?</t>
  </si>
  <si>
    <t>Project organization chart?</t>
  </si>
  <si>
    <t>Organization and planning</t>
  </si>
  <si>
    <t>Approach?</t>
  </si>
  <si>
    <t>Project organization chart? Project partner?</t>
  </si>
  <si>
    <t>Budget ?</t>
  </si>
  <si>
    <t>Probability of occurrence</t>
  </si>
  <si>
    <t>Organizational feasibility</t>
  </si>
  <si>
    <t>Degree of danger</t>
  </si>
  <si>
    <t>Ten-dency</t>
  </si>
  <si>
    <t>Charter</t>
  </si>
  <si>
    <t>Remarks / attachments</t>
  </si>
  <si>
    <t>Attachments</t>
  </si>
  <si>
    <t>According to plan</t>
  </si>
  <si>
    <t>Weitere Bemerkungen</t>
  </si>
  <si>
    <t>Autres remarques</t>
  </si>
  <si>
    <t>Further comments</t>
  </si>
  <si>
    <t>Altri commenti</t>
  </si>
  <si>
    <t>Analisi SWOT</t>
  </si>
  <si>
    <t>Machbarkeit</t>
  </si>
  <si>
    <t>Faisabilité</t>
  </si>
  <si>
    <t>Feasibility</t>
  </si>
  <si>
    <t>Fattibilità</t>
  </si>
  <si>
    <t>Redditività</t>
  </si>
  <si>
    <t xml:space="preserve">C H E C K L I S T E </t>
  </si>
  <si>
    <t xml:space="preserve">C H E C K  -  L I S T E </t>
  </si>
  <si>
    <t>C H E C K  -  L I S T A</t>
  </si>
  <si>
    <t>Gantt</t>
  </si>
  <si>
    <t>Check-Liste</t>
  </si>
  <si>
    <t>Checkliste</t>
  </si>
  <si>
    <t>Check-Lista</t>
  </si>
  <si>
    <t>Risques</t>
  </si>
  <si>
    <t>Rischi</t>
  </si>
  <si>
    <t>Risiken</t>
  </si>
  <si>
    <t>Risks</t>
  </si>
  <si>
    <t>SWOT-Analyse</t>
  </si>
  <si>
    <t>U R S A C H E  -  W I R K U N G S  -  D I A G R A M M</t>
  </si>
  <si>
    <t>D I A G R A M M E   D E   C A U S E S   E T   E F F E T S</t>
  </si>
  <si>
    <t>Problem</t>
  </si>
  <si>
    <t>Ursache - Wirkung</t>
  </si>
  <si>
    <t>Causes - Effets</t>
  </si>
  <si>
    <t xml:space="preserve">C A U S E  - E F F E C T  D I A G R A M M </t>
  </si>
  <si>
    <t>Causes - Effects</t>
  </si>
  <si>
    <t>D I A G R A M M A  C A U S A - E F F E T T I</t>
  </si>
  <si>
    <t>Causa - Effetti</t>
  </si>
  <si>
    <t>siehe Auftrag</t>
  </si>
  <si>
    <t>Voir mandat</t>
  </si>
  <si>
    <t>see charter</t>
  </si>
  <si>
    <t>vedere mandato</t>
  </si>
  <si>
    <t>C H E C K  -  L I S T E</t>
  </si>
  <si>
    <t>Risque 1</t>
  </si>
  <si>
    <t>C O N T R O L L I N G   P R O J E T S</t>
  </si>
  <si>
    <t>Projets</t>
  </si>
  <si>
    <t>Prio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</si>
  <si>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</si>
  <si>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</si>
  <si>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</si>
  <si>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</si>
  <si>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</si>
  <si>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</si>
  <si>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</si>
  <si>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</si>
  <si>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</si>
  <si>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</si>
  <si>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</si>
  <si>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</si>
  <si>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</si>
  <si>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</si>
  <si>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</si>
  <si>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</si>
  <si>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</si>
  <si>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</si>
  <si>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</si>
  <si>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</si>
  <si>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</si>
  <si>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</si>
  <si>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</si>
  <si>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</si>
  <si>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</si>
  <si>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</si>
  <si>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</si>
  <si>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</si>
  <si>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</si>
  <si>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</si>
  <si>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</si>
  <si>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</si>
  <si>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</si>
  <si>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</si>
  <si>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</si>
  <si>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</si>
  <si>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</si>
  <si>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</si>
  <si>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</si>
  <si>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</si>
  <si>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</si>
  <si>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</si>
  <si>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</si>
  <si>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</si>
  <si>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</si>
  <si>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</si>
  <si>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</si>
  <si>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</si>
  <si>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</si>
  <si>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</si>
  <si>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 R O J E K T C O N T R O L L I N G</t>
  </si>
  <si>
    <t>P R O J E C T    C O N T R O L L I N G</t>
  </si>
  <si>
    <t>Projekte</t>
  </si>
  <si>
    <t>Projects</t>
  </si>
  <si>
    <t>Qui ?</t>
  </si>
  <si>
    <t>Progetti</t>
  </si>
  <si>
    <t>C O N T R O L L I N G   P R O G E T T I</t>
  </si>
  <si>
    <t>Project 1</t>
  </si>
  <si>
    <t>Risque 2</t>
  </si>
  <si>
    <t>uvw xyz (xyz)</t>
  </si>
  <si>
    <t>abc</t>
  </si>
  <si>
    <t>Total Stunden</t>
  </si>
  <si>
    <t>Totale heures</t>
  </si>
  <si>
    <t>Total hours</t>
  </si>
  <si>
    <t>Totale ore</t>
  </si>
  <si>
    <t>Mois</t>
  </si>
  <si>
    <t>Jour début</t>
  </si>
  <si>
    <t>(1 = dimanche, 2 = lundi, ...)</t>
  </si>
  <si>
    <t>[42]</t>
  </si>
  <si>
    <t>Kalender</t>
  </si>
  <si>
    <t>Calendario</t>
  </si>
  <si>
    <t>Calendar</t>
  </si>
  <si>
    <t>Jahr</t>
  </si>
  <si>
    <t>Lu</t>
  </si>
  <si>
    <t>Ma</t>
  </si>
  <si>
    <t>Di</t>
  </si>
  <si>
    <t>Me</t>
  </si>
  <si>
    <t>Ve</t>
  </si>
  <si>
    <t>Sa</t>
  </si>
  <si>
    <t>Je</t>
  </si>
  <si>
    <t>So</t>
  </si>
  <si>
    <t>Mo</t>
  </si>
  <si>
    <t>Mi</t>
  </si>
  <si>
    <t>Do</t>
  </si>
  <si>
    <t>Fr</t>
  </si>
  <si>
    <t>Su</t>
  </si>
  <si>
    <t>Tu</t>
  </si>
  <si>
    <t>We</t>
  </si>
  <si>
    <t>Th</t>
  </si>
  <si>
    <t>Gio</t>
  </si>
  <si>
    <t>Calendrier</t>
  </si>
  <si>
    <t>Charges de personnel (internes)</t>
  </si>
  <si>
    <t>Spese per il personale (interni)</t>
  </si>
  <si>
    <t>Téléphone</t>
  </si>
  <si>
    <t>TOTAL externe Finanzierung</t>
  </si>
  <si>
    <t>TOTAL financement externe</t>
  </si>
  <si>
    <t>TOTAL external finances</t>
  </si>
  <si>
    <t>TOTALE finanzamenti esterni</t>
  </si>
  <si>
    <t xml:space="preserve">Externe Finanzierung </t>
  </si>
  <si>
    <t xml:space="preserve">Financement externe </t>
  </si>
  <si>
    <t xml:space="preserve">External financing </t>
  </si>
  <si>
    <t>Finanziamento esterno</t>
  </si>
  <si>
    <t>Kommunikation</t>
  </si>
  <si>
    <t>Communication</t>
  </si>
  <si>
    <t>Comunication</t>
  </si>
  <si>
    <t>K O M M U N I K A T I O N</t>
  </si>
  <si>
    <t>C O M M U N I C A T I O N</t>
  </si>
  <si>
    <t>Internet</t>
  </si>
  <si>
    <t>Social Medias</t>
  </si>
  <si>
    <t>Social Media</t>
  </si>
  <si>
    <t>Public Relations</t>
  </si>
  <si>
    <t>Relations publiques</t>
  </si>
  <si>
    <t>Public relations</t>
  </si>
  <si>
    <t>Diverses</t>
  </si>
  <si>
    <t>Prioriät</t>
  </si>
  <si>
    <t>Priorité</t>
  </si>
  <si>
    <t>Priority</t>
  </si>
  <si>
    <t>G E S T I O N  D E  P R O J E T S</t>
  </si>
  <si>
    <t>Mon</t>
  </si>
  <si>
    <t>Tue</t>
  </si>
  <si>
    <t>Wed</t>
  </si>
  <si>
    <t>Thu</t>
  </si>
  <si>
    <t>Fri</t>
  </si>
  <si>
    <t>Sat</t>
  </si>
  <si>
    <t>Sun</t>
  </si>
  <si>
    <t>Lun</t>
  </si>
  <si>
    <t>Mar</t>
  </si>
  <si>
    <t>Mer</t>
  </si>
  <si>
    <t>Jeu</t>
  </si>
  <si>
    <t>Ven</t>
  </si>
  <si>
    <t>Sam</t>
  </si>
  <si>
    <t>Dim</t>
  </si>
  <si>
    <t>intern</t>
  </si>
  <si>
    <t>interne</t>
  </si>
  <si>
    <t>interno</t>
  </si>
  <si>
    <t>Charges de personnel (externes)</t>
  </si>
  <si>
    <t>Spese per il personale (esterni)</t>
  </si>
  <si>
    <t>TOTAL</t>
  </si>
  <si>
    <t>TOTALE</t>
  </si>
  <si>
    <t>Total intern</t>
  </si>
  <si>
    <t>Total interne</t>
  </si>
  <si>
    <t>Totale interno</t>
  </si>
  <si>
    <t>Total extern</t>
  </si>
  <si>
    <t>Totale esterno</t>
  </si>
  <si>
    <t xml:space="preserve"> Tage</t>
  </si>
  <si>
    <t xml:space="preserve"> jours</t>
  </si>
  <si>
    <t xml:space="preserve"> days</t>
  </si>
  <si>
    <t xml:space="preserve"> giorni</t>
  </si>
  <si>
    <t xml:space="preserve"> Stunden</t>
  </si>
  <si>
    <t xml:space="preserve"> hours</t>
  </si>
  <si>
    <t xml:space="preserve"> ore</t>
  </si>
  <si>
    <t xml:space="preserve"> heures</t>
  </si>
  <si>
    <t>P L A N U N G   Ü B E R S I C H T</t>
  </si>
  <si>
    <t>P L A N I F I C A T I O N   S O M M A I R E</t>
  </si>
  <si>
    <t>R O U G H   P L A N N I N G</t>
  </si>
  <si>
    <t>P I A N I F I C A Z I O N E    S O M M A R I O</t>
  </si>
  <si>
    <t>erledigt</t>
  </si>
  <si>
    <t>fatto</t>
  </si>
  <si>
    <t>done</t>
  </si>
  <si>
    <t>en cours</t>
  </si>
  <si>
    <t>in progress</t>
  </si>
  <si>
    <t>in Arbeit</t>
  </si>
  <si>
    <t>in corso</t>
  </si>
  <si>
    <t>pietre miliari</t>
  </si>
  <si>
    <t>milestones</t>
  </si>
  <si>
    <t>jalons</t>
  </si>
  <si>
    <t>terminé</t>
  </si>
  <si>
    <t>abc@def</t>
  </si>
  <si>
    <t>Saldo realisierte Tage</t>
  </si>
  <si>
    <t>Solde jours réalisées</t>
  </si>
  <si>
    <t>Balance realized days</t>
  </si>
  <si>
    <t>Saldo giorni realizzati</t>
  </si>
  <si>
    <t>BUDGET</t>
  </si>
  <si>
    <t>Realisiert</t>
  </si>
  <si>
    <t>Réalisées</t>
  </si>
  <si>
    <t>Realized</t>
  </si>
  <si>
    <t>Realizzati</t>
  </si>
  <si>
    <t>Budget [h]</t>
  </si>
  <si>
    <t>realisiert [h]</t>
  </si>
  <si>
    <t>réalisées [h]</t>
  </si>
  <si>
    <t>realized [h]</t>
  </si>
  <si>
    <t>realizzate [h]</t>
  </si>
  <si>
    <t>Projektziele (vgl. Projektauftrag)</t>
  </si>
  <si>
    <t>Project goals (see charter)</t>
  </si>
  <si>
    <t>Obiettivi del progetto (vedere mandato)</t>
  </si>
  <si>
    <t>Objectifs du projet (cf. mandat)</t>
  </si>
  <si>
    <t>Stundenansatz</t>
  </si>
  <si>
    <t>Tarif horaire</t>
  </si>
  <si>
    <t>Hourly rate</t>
  </si>
  <si>
    <t>Tariffa oraria</t>
  </si>
  <si>
    <t>Saldo [%]</t>
  </si>
  <si>
    <t>Solde [%]</t>
  </si>
  <si>
    <t>Balance [%]</t>
  </si>
  <si>
    <t>Total externe</t>
  </si>
  <si>
    <t>Zielpublikum</t>
  </si>
  <si>
    <t>Public cible</t>
  </si>
  <si>
    <t>Target public</t>
  </si>
  <si>
    <t>Kernbotschaft</t>
  </si>
  <si>
    <t>Message clé</t>
  </si>
  <si>
    <t>Key Message</t>
  </si>
  <si>
    <t>Indikatoren</t>
  </si>
  <si>
    <t>Indicateurs</t>
  </si>
  <si>
    <t>Indicators</t>
  </si>
  <si>
    <t>xy</t>
  </si>
  <si>
    <t>rouge</t>
  </si>
  <si>
    <t>SOLL</t>
  </si>
  <si>
    <t>DOIT</t>
  </si>
  <si>
    <t>Target</t>
  </si>
  <si>
    <t>erreicht</t>
  </si>
  <si>
    <t>atteint</t>
  </si>
  <si>
    <t>achieved</t>
  </si>
  <si>
    <t>Saldo Budget [h]</t>
  </si>
  <si>
    <t>solde budget [h]</t>
  </si>
  <si>
    <t>balance budget [h]</t>
  </si>
  <si>
    <t>saldo budget [h]</t>
  </si>
  <si>
    <t>budget [h]</t>
  </si>
  <si>
    <t>Solde budget [h]</t>
  </si>
  <si>
    <t>Balance budget [h]</t>
  </si>
  <si>
    <t>Saldo budget [h]</t>
  </si>
  <si>
    <t>intern:</t>
  </si>
  <si>
    <t>extern:</t>
  </si>
  <si>
    <t>interne :</t>
  </si>
  <si>
    <t>externe :</t>
  </si>
  <si>
    <t>interno:</t>
  </si>
  <si>
    <t>esterno:</t>
  </si>
  <si>
    <t>Total realisiert [h]</t>
  </si>
  <si>
    <t>Total réalisées [h]</t>
  </si>
  <si>
    <t>Total realized [h]</t>
  </si>
  <si>
    <t>Totale realizzati [h]</t>
  </si>
  <si>
    <t>Notes</t>
  </si>
  <si>
    <t>Note</t>
  </si>
  <si>
    <t>Notizen</t>
  </si>
  <si>
    <t>Quoi ?</t>
  </si>
  <si>
    <t>Cosa?</t>
  </si>
  <si>
    <t>Prochaine séance xy</t>
  </si>
  <si>
    <t>abc def (abc)</t>
  </si>
  <si>
    <t>Titre</t>
  </si>
  <si>
    <t>Adresse 1</t>
  </si>
  <si>
    <t>Adresse 2</t>
  </si>
  <si>
    <t>CP</t>
  </si>
  <si>
    <t>Lieu</t>
  </si>
  <si>
    <t>A D R E S S E N</t>
  </si>
  <si>
    <t>A D R E S S E S</t>
  </si>
  <si>
    <t>I N D I R I Z Z I</t>
  </si>
  <si>
    <t>Telefon 1</t>
  </si>
  <si>
    <t>Téléphone 1</t>
  </si>
  <si>
    <t>Telephone 1</t>
  </si>
  <si>
    <t>Telefono 1</t>
  </si>
  <si>
    <t>Telefon 2</t>
  </si>
  <si>
    <t>Téléphone 2</t>
  </si>
  <si>
    <t>Telephone 2</t>
  </si>
  <si>
    <t>Telefono 2</t>
  </si>
  <si>
    <t>Indirizzo 1</t>
  </si>
  <si>
    <t>Indirizzo 2</t>
  </si>
  <si>
    <t>PLZ</t>
  </si>
  <si>
    <t>PC/ZIP</t>
  </si>
  <si>
    <t>Ort</t>
  </si>
  <si>
    <t>Luogo</t>
  </si>
  <si>
    <t>City</t>
  </si>
  <si>
    <t>Anrede</t>
  </si>
  <si>
    <t>O R G A N I G R A M M</t>
  </si>
  <si>
    <t>O R G A N I G R A M M E</t>
  </si>
  <si>
    <t>O R G A N I Z A T I O N A L   C H A R T</t>
  </si>
  <si>
    <t>O R G A N I G R A M M A</t>
  </si>
  <si>
    <t>Auftraggeber</t>
  </si>
  <si>
    <t>Mandant</t>
  </si>
  <si>
    <t>Client</t>
  </si>
  <si>
    <t>Committente</t>
  </si>
  <si>
    <t>Project manager</t>
  </si>
  <si>
    <t>Capoprogetto</t>
  </si>
  <si>
    <t>Expertengruppe</t>
  </si>
  <si>
    <t>Unterprojekt 1</t>
  </si>
  <si>
    <t>Unterprojekt 2</t>
  </si>
  <si>
    <t>Unterprojekt 3</t>
  </si>
  <si>
    <t>Unterprojekt 4</t>
  </si>
  <si>
    <t>Sous-projet 1</t>
  </si>
  <si>
    <t>Sous-projet 2</t>
  </si>
  <si>
    <t>Sous-projet 3</t>
  </si>
  <si>
    <t>Sous-projet 4</t>
  </si>
  <si>
    <t>Subproject 1</t>
  </si>
  <si>
    <t>Subproject 2</t>
  </si>
  <si>
    <t>Subproject 3</t>
  </si>
  <si>
    <t>Subproject 4</t>
  </si>
  <si>
    <t>Groupe d'experts</t>
  </si>
  <si>
    <t>Steuerungsgruppe</t>
  </si>
  <si>
    <t>Gruppo di pilotaggio</t>
  </si>
  <si>
    <t>Sotto progetto 1</t>
  </si>
  <si>
    <t>Sotto progetto 2</t>
  </si>
  <si>
    <t>Sotto progetto 3</t>
  </si>
  <si>
    <t>Sotto progetto 4</t>
  </si>
  <si>
    <t>Leading group</t>
  </si>
  <si>
    <t>Experts group</t>
  </si>
  <si>
    <t>Gruppo d'esperti</t>
  </si>
  <si>
    <t>Comité de pilotage</t>
  </si>
  <si>
    <t>Pilotage</t>
  </si>
  <si>
    <t>Steuerung</t>
  </si>
  <si>
    <t>Führung</t>
  </si>
  <si>
    <t>Conduite</t>
  </si>
  <si>
    <t>Fachspezialist</t>
  </si>
  <si>
    <t>Spécialiste</t>
  </si>
  <si>
    <t>Ausführung</t>
  </si>
  <si>
    <t>Exécution</t>
  </si>
  <si>
    <t>Assistance de projet</t>
  </si>
  <si>
    <t>Projektunterstützung</t>
  </si>
  <si>
    <t>Leadership</t>
  </si>
  <si>
    <t>Controlling</t>
  </si>
  <si>
    <t>Specialist</t>
  </si>
  <si>
    <t>Execution</t>
  </si>
  <si>
    <t>Project Support</t>
  </si>
  <si>
    <t>Direzione</t>
  </si>
  <si>
    <t>Esecuzione</t>
  </si>
  <si>
    <t>Specialista</t>
  </si>
  <si>
    <t>Progetto Supporto</t>
  </si>
  <si>
    <t>Pilotaggio</t>
  </si>
  <si>
    <t>Indicatori</t>
  </si>
  <si>
    <t>STATO DESIDERATO</t>
  </si>
  <si>
    <t>raggiunto</t>
  </si>
  <si>
    <t>Erfolge (letzte Periode)</t>
  </si>
  <si>
    <t>Achievements (last period)</t>
  </si>
  <si>
    <t>Successi (ultimo periodo)</t>
  </si>
  <si>
    <t>Besondere Probleme (letzte Periode)</t>
  </si>
  <si>
    <t>Particular problems (last period)</t>
  </si>
  <si>
    <t>Problemi particolari (ultimo periodo)</t>
  </si>
  <si>
    <t>Herausforderungen (nächste Periode)</t>
  </si>
  <si>
    <t>Challenges (next period)</t>
  </si>
  <si>
    <t>Sfide (prossimo periodo)</t>
  </si>
  <si>
    <t>Was kann aus dem Projekt gelernt werden? (Lessons Learned)</t>
  </si>
  <si>
    <t>Quels sont les enseignements tirés du projet ? (Lessons Learned)</t>
  </si>
  <si>
    <t>What can be learnt from the project? (Lessons Learned)</t>
  </si>
  <si>
    <t>Quali insegnamenti  è possibile trarre dal progetto? (Lessons Learned)</t>
  </si>
  <si>
    <t>Termine/Meilensteine (Go/NoGo)</t>
  </si>
  <si>
    <t>Deadlines / Milestones (Go/NoGo)</t>
  </si>
  <si>
    <t>Scadenze / Pietre miliari (Go/NoGo)</t>
  </si>
  <si>
    <t>x.y@hevs.ch</t>
  </si>
  <si>
    <t>xyz xxx</t>
  </si>
  <si>
    <t>Links zu Dokumenten</t>
  </si>
  <si>
    <t>Liens vers les documents</t>
  </si>
  <si>
    <t>Links documents</t>
  </si>
  <si>
    <t>Link a documenti</t>
  </si>
  <si>
    <t>Wichtigsten Entscheide / Bemerkungen</t>
  </si>
  <si>
    <t>Décisions les plus importantes / Remarques</t>
  </si>
  <si>
    <t>Important decisions / Remarks</t>
  </si>
  <si>
    <t>Le decisioni più importanti / Osservazioni</t>
  </si>
  <si>
    <t>Übersicht Sitzungen</t>
  </si>
  <si>
    <t>Aperçu des séances</t>
  </si>
  <si>
    <t>Overview Meetings</t>
  </si>
  <si>
    <t>Panoramica sedute</t>
  </si>
  <si>
    <t>Ihr Logo:</t>
  </si>
  <si>
    <t>Votre logo:</t>
  </si>
  <si>
    <t>Your logo:</t>
  </si>
  <si>
    <t>Vostro logo:</t>
  </si>
  <si>
    <t>S T A K E H O L D E R - A N A L Y S E</t>
  </si>
  <si>
    <t>A N A L Y S E   D E S   P A R T I E S   P R E N A N T E S</t>
  </si>
  <si>
    <t>S T A K E H O L D E R   A N A L Y S I S</t>
  </si>
  <si>
    <t>weites Umfeld</t>
  </si>
  <si>
    <t>Contexte large</t>
  </si>
  <si>
    <t>Wider environment</t>
  </si>
  <si>
    <t>Contesto ampio</t>
  </si>
  <si>
    <t>nahes Umfeld</t>
  </si>
  <si>
    <t>Contexte restreint</t>
  </si>
  <si>
    <t>Immediate environment</t>
  </si>
  <si>
    <t>Contesto ristretto</t>
  </si>
  <si>
    <t>Internal</t>
  </si>
  <si>
    <t>Wir</t>
  </si>
  <si>
    <t>Nous</t>
  </si>
  <si>
    <t>Us</t>
  </si>
  <si>
    <t>Noi</t>
  </si>
  <si>
    <t>häufiger Kontakt</t>
  </si>
  <si>
    <t>contacts fréquents</t>
  </si>
  <si>
    <t>Frequent contacts</t>
  </si>
  <si>
    <t>Contatti frequenti</t>
  </si>
  <si>
    <t>regelmässiger Kontakt</t>
  </si>
  <si>
    <t>contacts réguliers</t>
  </si>
  <si>
    <t>Regular contacts</t>
  </si>
  <si>
    <t>Contatti regolari</t>
  </si>
  <si>
    <t>seltener Kontakt</t>
  </si>
  <si>
    <t>contacts rares</t>
  </si>
  <si>
    <t>Rare contacts</t>
  </si>
  <si>
    <t>Contatti rari</t>
  </si>
  <si>
    <t>grande</t>
  </si>
  <si>
    <t>alto</t>
  </si>
  <si>
    <t>gross</t>
  </si>
  <si>
    <t>grand</t>
  </si>
  <si>
    <t>Big</t>
  </si>
  <si>
    <t>Einfluss der Stakeholder</t>
  </si>
  <si>
    <t>Influence des parties prenantes</t>
  </si>
  <si>
    <t>Stakeholder influence</t>
  </si>
  <si>
    <t>Influsso degli stakeholder</t>
  </si>
  <si>
    <t>petite</t>
  </si>
  <si>
    <t>basso</t>
  </si>
  <si>
    <t>klein</t>
  </si>
  <si>
    <t>petit</t>
  </si>
  <si>
    <t>Small</t>
  </si>
  <si>
    <t>piccolo</t>
  </si>
  <si>
    <t>Interesse der Stakeholder</t>
  </si>
  <si>
    <t>Intérêt des parties prenantes</t>
  </si>
  <si>
    <t>Stakeholder interest</t>
  </si>
  <si>
    <t>Interesse degli stakeholder</t>
  </si>
  <si>
    <t>N.</t>
  </si>
  <si>
    <t>Anspruchsgruppe</t>
  </si>
  <si>
    <t>Interessen, Erwartungen</t>
  </si>
  <si>
    <t>Intérêt, attentes</t>
  </si>
  <si>
    <t>Interests, expectations</t>
  </si>
  <si>
    <t>Interessi, attese</t>
  </si>
  <si>
    <t>Stärke der Interessen</t>
  </si>
  <si>
    <t>Etendue de l'intérêt</t>
  </si>
  <si>
    <t>Extent of interests</t>
  </si>
  <si>
    <t>Intensità degli interessi</t>
  </si>
  <si>
    <t>Höhe des Einflusses</t>
  </si>
  <si>
    <t>Etendue de l'influence</t>
  </si>
  <si>
    <t>Degree of influence</t>
  </si>
  <si>
    <t>Intensità dell'influsso</t>
  </si>
  <si>
    <t>Chancen (+) und 
Gefahren (-)</t>
  </si>
  <si>
    <t>Chances (+) et 
Dangers (-)</t>
  </si>
  <si>
    <t>Chances (+) and 
dangers (-)</t>
  </si>
  <si>
    <t>Opportunità (+) e 
pericoli (-)</t>
  </si>
  <si>
    <t>Misure possibili</t>
  </si>
  <si>
    <t>Statuto</t>
  </si>
  <si>
    <t>Grösse der Gruppe</t>
  </si>
  <si>
    <t>Taille du groupe</t>
  </si>
  <si>
    <t>Size of group</t>
  </si>
  <si>
    <t>Dimensioni del gruppo</t>
  </si>
  <si>
    <t xml:space="preserve">A N A L I S I   D E G L I   S T A K E H O L D E R </t>
  </si>
  <si>
    <t>Groupe 2</t>
  </si>
  <si>
    <t>s19</t>
  </si>
  <si>
    <t>s20</t>
  </si>
  <si>
    <t>S T A K E H O L D E R</t>
  </si>
  <si>
    <t>P A R T I E S   P R E N A N T E S</t>
  </si>
  <si>
    <t>Links</t>
  </si>
  <si>
    <t>Liens</t>
  </si>
  <si>
    <t>Voulez-vous télécharger un nouveau fichier ?</t>
  </si>
  <si>
    <t>Would you like to download a new file?</t>
  </si>
  <si>
    <t>Volete scaricare un nuovo file?</t>
  </si>
  <si>
    <t>Assurez-vous, que vous avez une connexion internet!</t>
  </si>
  <si>
    <t>Assicurarsi di avere una connessione internet!</t>
  </si>
  <si>
    <t>Please make sure that you have an internet connection!</t>
  </si>
  <si>
    <t>Bemerkung:</t>
  </si>
  <si>
    <t>Sie können auf iMangement jeweils die neuste Version herunterladen.</t>
  </si>
  <si>
    <t>Remarque :</t>
  </si>
  <si>
    <t>Remark:</t>
  </si>
  <si>
    <t>Osservazione:</t>
  </si>
  <si>
    <t>Sur iMangement vous pouvez télécharger la dernière version.</t>
  </si>
  <si>
    <t>Su iMangement è possibile scaricare la versione più recente.</t>
  </si>
  <si>
    <t>On iMangement you can download the latest version.</t>
  </si>
  <si>
    <t>Möchten Sie eine neue Datei herunterladen?</t>
  </si>
  <si>
    <t>Stellen Sie sicher, dass ein Internetzugang besteht!</t>
  </si>
  <si>
    <t>Strength</t>
  </si>
  <si>
    <t>Weaknesses</t>
  </si>
  <si>
    <t>Threats</t>
  </si>
  <si>
    <t>Minacce</t>
  </si>
  <si>
    <t>Zufrieden halten</t>
  </si>
  <si>
    <t>Maintenir satisfait</t>
  </si>
  <si>
    <t>Keep satisfied</t>
  </si>
  <si>
    <t>mantenere soddisfatto</t>
  </si>
  <si>
    <t>Beobachten</t>
  </si>
  <si>
    <t>Surveiller</t>
  </si>
  <si>
    <t>Monitor</t>
  </si>
  <si>
    <t>monitorare</t>
  </si>
  <si>
    <t>Informiert halten</t>
  </si>
  <si>
    <t>Tenir informé</t>
  </si>
  <si>
    <t>Keep informed</t>
  </si>
  <si>
    <t>tenere informati</t>
  </si>
  <si>
    <t xml:space="preserve">Intensive Betreuung </t>
  </si>
  <si>
    <t>Suivre de près</t>
  </si>
  <si>
    <t>Manage closely</t>
  </si>
  <si>
    <t>gestire strettamente</t>
  </si>
  <si>
    <t>Pfeil kopieren: ctrl und linke Maustaste</t>
  </si>
  <si>
    <t>Copier flèche: ctrl et bouton gauche de la souris</t>
  </si>
  <si>
    <t>Copy arrow: ctrl and left mouse button</t>
  </si>
  <si>
    <t>Copia freccia: ctrl e pulsante sinistro del mouse</t>
  </si>
  <si>
    <t>Parties prenantes</t>
  </si>
  <si>
    <t>Stakeholder</t>
  </si>
  <si>
    <t>Gruppe 3</t>
  </si>
  <si>
    <t>Währung:</t>
  </si>
  <si>
    <t>Currency:</t>
  </si>
  <si>
    <t>Devise:</t>
  </si>
  <si>
    <t>Moneta:</t>
  </si>
  <si>
    <t>w19</t>
  </si>
  <si>
    <t>w20</t>
  </si>
  <si>
    <t>o19</t>
  </si>
  <si>
    <t>o20</t>
  </si>
  <si>
    <t>t19</t>
  </si>
  <si>
    <t>t20</t>
  </si>
  <si>
    <t>Enter here the hyperlink to the document with  the right mouse button</t>
  </si>
  <si>
    <t>Inserire il link verso documento con il pulsante destro del mouse</t>
  </si>
  <si>
    <t>no</t>
  </si>
  <si>
    <t>yes</t>
  </si>
  <si>
    <t>si</t>
  </si>
  <si>
    <t>Stärken</t>
  </si>
  <si>
    <t>Forces</t>
  </si>
  <si>
    <t>Faiblesses</t>
  </si>
  <si>
    <t>Schwächen</t>
  </si>
  <si>
    <t>Chancen</t>
  </si>
  <si>
    <t>Forze</t>
  </si>
  <si>
    <t>Lacune</t>
  </si>
  <si>
    <t>Opportunités</t>
  </si>
  <si>
    <t>Menaces</t>
  </si>
  <si>
    <t>Gefahren</t>
  </si>
  <si>
    <t>Ressources internes</t>
  </si>
  <si>
    <t>Interne Ressourcen</t>
  </si>
  <si>
    <t>Internal resources</t>
  </si>
  <si>
    <t>Risorse esterne</t>
  </si>
  <si>
    <t>Risorse interne</t>
  </si>
  <si>
    <t>External resources</t>
  </si>
  <si>
    <t>Ressources externes</t>
  </si>
  <si>
    <t>Externe Ressourcen</t>
  </si>
  <si>
    <t>TOTAL RESSOURCEN</t>
  </si>
  <si>
    <t>TOTAL RESSOURCES</t>
  </si>
  <si>
    <t>TOTAL RESOURCES</t>
  </si>
  <si>
    <t>TOTALE RISORSE</t>
  </si>
  <si>
    <t>Financement externe (p.ex. clients, subventions etc.)</t>
  </si>
  <si>
    <t>External financing (eg customers, subsidies etc.)</t>
  </si>
  <si>
    <t>Finanziamento esterno (a.e.  Clienti, sussidi ecc)</t>
  </si>
  <si>
    <t>Externe Finanzierung (z.B. Kunden, Subventionen etc.)</t>
  </si>
  <si>
    <t>Externe Ress.</t>
  </si>
  <si>
    <t>Ress. externes</t>
  </si>
  <si>
    <t>External res.</t>
  </si>
  <si>
    <t>Interne Ress.</t>
  </si>
  <si>
    <t>Ress. internes</t>
  </si>
  <si>
    <t>Internal res.</t>
  </si>
  <si>
    <t>Ris. interni</t>
  </si>
  <si>
    <t>Risorse interni</t>
  </si>
  <si>
    <t>TOTAL interne Ressourcen</t>
  </si>
  <si>
    <t>Ressourcen (intern)</t>
  </si>
  <si>
    <t>Ressourcen (extern)</t>
  </si>
  <si>
    <t>TOTAL externe Ressourcen</t>
  </si>
  <si>
    <t>TOTAL ressources externes</t>
  </si>
  <si>
    <t>TOTAL ressources internes</t>
  </si>
  <si>
    <t>TOTAL external resources</t>
  </si>
  <si>
    <t>TOTAL internal resources</t>
  </si>
  <si>
    <t>Personnel resources (internal)</t>
  </si>
  <si>
    <t>Personnel resources (external)</t>
  </si>
  <si>
    <t>Ressources (externes)</t>
  </si>
  <si>
    <t>Resources (external)</t>
  </si>
  <si>
    <t>Risorse (esterni)</t>
  </si>
  <si>
    <t>TOTALE risorse esternr</t>
  </si>
  <si>
    <t>TOTALE risorse internr</t>
  </si>
  <si>
    <t>Personalressourcen (intern)</t>
  </si>
  <si>
    <t>Personalressourcen (extern)</t>
  </si>
  <si>
    <t>Ris. esterne</t>
  </si>
  <si>
    <t xml:space="preserve">Insérer ici, avec le bouton droit de la souris, le lien vers le document </t>
  </si>
  <si>
    <t>Fügen Sie hier den Link zum Dokument mit der rechten Maustaste ein</t>
  </si>
  <si>
    <t>Projektleitung</t>
  </si>
  <si>
    <t>Summe</t>
  </si>
  <si>
    <t>Somme</t>
  </si>
  <si>
    <t>Sum</t>
  </si>
  <si>
    <t>Somma</t>
  </si>
  <si>
    <t>Délais / Jalon (Go/NoGo)</t>
  </si>
  <si>
    <t>Nächster Meilenstein:</t>
  </si>
  <si>
    <t>Prochain jalon :</t>
  </si>
  <si>
    <t>Next milestone:</t>
  </si>
  <si>
    <t>Prossima pietra miliar.:</t>
  </si>
  <si>
    <t>Qualitäts- und
Risikomanagement</t>
  </si>
  <si>
    <t>Gestion de la
qualité et des risques</t>
  </si>
  <si>
    <t>Quality and
Risk Management</t>
  </si>
  <si>
    <t>Qualità e
Risk Management</t>
  </si>
  <si>
    <t>Kriterium</t>
  </si>
  <si>
    <t>Critère</t>
  </si>
  <si>
    <t>Criterion</t>
  </si>
  <si>
    <t xml:space="preserve"> Criterio</t>
  </si>
  <si>
    <t>Evaluation</t>
  </si>
  <si>
    <t>Bewertung</t>
  </si>
  <si>
    <t>Assessment</t>
  </si>
  <si>
    <t xml:space="preserve"> Valutazione</t>
  </si>
  <si>
    <t>Total</t>
  </si>
  <si>
    <t xml:space="preserve"> Totale</t>
  </si>
  <si>
    <t>I N N O V A T I O N S P R O M O T O R E N</t>
  </si>
  <si>
    <t>P R O M O T E U R S   D E   L' I N N O V A T I O N</t>
  </si>
  <si>
    <t>P R O M O T O R I   D E L L'   I N N O V A Z I O N E</t>
  </si>
  <si>
    <t>I N N O V A T I O N   P R M O T E R S</t>
  </si>
  <si>
    <t>Hat eine hohe hierarchische Position</t>
  </si>
  <si>
    <t>Kann Ressourcen bereitstellen</t>
  </si>
  <si>
    <t>Kann Opponenten mit Sanktionen belegen</t>
  </si>
  <si>
    <t>Kann Innovationswillige schützen und unterstützen</t>
  </si>
  <si>
    <t>Fachpromotoren</t>
  </si>
  <si>
    <t>Hat eine hohe Expertenkompetenz</t>
  </si>
  <si>
    <t>Prozesspromotoren</t>
  </si>
  <si>
    <t>Beziehungspromotoren</t>
  </si>
  <si>
    <t>Kennt die Organisationsstruktur sehr gut</t>
  </si>
  <si>
    <t>Stellt Kontakte und Verbindungen zwischen den Macht- und Fachpromotoren her</t>
  </si>
  <si>
    <t>Sammelt und filtert Informationen über die eigene Organisation</t>
  </si>
  <si>
    <t>Unterstützt den Veränderungsprozess nur indirekt</t>
  </si>
  <si>
    <t>Übersetzt und interpretiert Informationen für den internen Gebrauch</t>
  </si>
  <si>
    <t>Verfügt über ein weit verzweigtes Netzwerk von persönlichen Kontakten</t>
  </si>
  <si>
    <t>Pflegt innerhalb der Organisation gute und freundschaftliche Beziehungen</t>
  </si>
  <si>
    <t>Spannen neue Netze nach innen sowie nach aussen</t>
  </si>
  <si>
    <t>Verhandelt zwischen den verschiedenen Akteuren</t>
  </si>
  <si>
    <t>Oponenten</t>
  </si>
  <si>
    <t>Promotoren</t>
  </si>
  <si>
    <t>Promoteurs</t>
  </si>
  <si>
    <t>Promoters</t>
  </si>
  <si>
    <t>Promotori</t>
  </si>
  <si>
    <t>Machtpromotoren</t>
  </si>
  <si>
    <t>Promoteurs de pouvoir</t>
  </si>
  <si>
    <t>A une position hiérarchique élevée</t>
  </si>
  <si>
    <t>Peut fournir des ressources</t>
  </si>
  <si>
    <t>Peut protéger et soutenir les personnes qui sont ouvert à l'innovation</t>
  </si>
  <si>
    <t>Peut sanctionner les opposants</t>
  </si>
  <si>
    <t>Est capable de persuader et d'enthousiasmer</t>
  </si>
  <si>
    <t>Promoteurs de processus</t>
  </si>
  <si>
    <t>Promoteurs de relation</t>
  </si>
  <si>
    <t>Opposants</t>
  </si>
  <si>
    <t>A une haute compétence d'expert</t>
  </si>
  <si>
    <t>Évalue les problèmes nouveaux et complexes</t>
  </si>
  <si>
    <t>Développe des solutions pour surmonter les problèmes et les obstacles</t>
  </si>
  <si>
    <t>Conduit le processus d'innovation en transmettant son expertise</t>
  </si>
  <si>
    <t>Promoteurs expert</t>
  </si>
  <si>
    <t xml:space="preserve">Établit des contacts et des liens entre le promoteur de pouvoir et le promoteur expert </t>
  </si>
  <si>
    <t>Recueille et filtre les informations sur l'organisation</t>
  </si>
  <si>
    <t>Appuie indirectement le processus de changement</t>
  </si>
  <si>
    <t>Met en œuvre les mesures de solution</t>
  </si>
  <si>
    <t>Connait très bien la structure organisationnelle</t>
  </si>
  <si>
    <t>Dispose d'un vaste réseau de contacts personnels</t>
  </si>
  <si>
    <t>Wird durch alle Hierarchie-Schichten hindurch akzeptiert und respektiert wird</t>
  </si>
  <si>
    <t>Est accepté et respecté à travers tous les niveaux hiérarchiques</t>
  </si>
  <si>
    <t>Négocie entre les différents acteurs</t>
  </si>
  <si>
    <t>Sind gegen alles Neue im Unternehmen</t>
  </si>
  <si>
    <t>Est contre toutes nouveautés dans l'entreprise</t>
  </si>
  <si>
    <t>Entretien de bonnes et amicales relations dans l'organisation</t>
  </si>
  <si>
    <t>Kann den Innovationsprozess verzögern oder verhindern</t>
  </si>
  <si>
    <t>Peut empêcher ou retarder le processus d'innovation</t>
  </si>
  <si>
    <t>Promotori di potere</t>
  </si>
  <si>
    <t>Ha una posizione gerarchica alta</t>
  </si>
  <si>
    <t>Può convincere e ispirare</t>
  </si>
  <si>
    <t>Può fornire risorse</t>
  </si>
  <si>
    <t>Può proteggere e sostenere le persone che sono aperti all'innovazione</t>
  </si>
  <si>
    <t>Può punire gli oppositori</t>
  </si>
  <si>
    <t>Promotori esperti</t>
  </si>
  <si>
    <t>Valuta problemi nuovi e complessi</t>
  </si>
  <si>
    <t>Evaluiert neuartige und komplexe Probleme</t>
  </si>
  <si>
    <t>Entwickelt Lösungsansätze zur Überwindung von Problemen und Hindernissen</t>
  </si>
  <si>
    <t>Treibt den Innovationsprozess durch Weitergabe ihrer Expertise voran</t>
  </si>
  <si>
    <t>Setzt Lösungsansätze um</t>
  </si>
  <si>
    <t>Sviluppa soluzioni per superare i problemi e gli ostacoli</t>
  </si>
  <si>
    <t>Conduce il processo di innovazione trasmettendo la sua esperienza</t>
  </si>
  <si>
    <t>Ha una grande competenza di esperto</t>
  </si>
  <si>
    <t>Implementa le misure di soluzione</t>
  </si>
  <si>
    <t>Promotori di pocesso</t>
  </si>
  <si>
    <t>Conosce molto bene la struttura organizzativa</t>
  </si>
  <si>
    <t>Stabilisce contatti e connessioni tra il promotore esperto e il promottore di potere</t>
  </si>
  <si>
    <t>Raccoglie e filtra le informazioni sull'organizzazione</t>
  </si>
  <si>
    <t>Traduit et interprète les informations pour un usage interne</t>
  </si>
  <si>
    <t>Traduce e interpreta le informazioni per uso interno</t>
  </si>
  <si>
    <t>Sostiene indirettamente il processo di cambiamento</t>
  </si>
  <si>
    <t>Promotori di relazione</t>
  </si>
  <si>
    <t>Ha una vasta rete di contatti personali</t>
  </si>
  <si>
    <t>Mantiene all'interno dell'organizzazione buone e amichevoli relazioni</t>
  </si>
  <si>
    <t>Viene accettato e rispettato a tutti i livelli</t>
  </si>
  <si>
    <t>Noue des nouveaux réseaux internes et externes</t>
  </si>
  <si>
    <t>Forges nuove reti interne ed esterne</t>
  </si>
  <si>
    <t>Negozia tra i vari attori</t>
  </si>
  <si>
    <t>Oppositori</t>
  </si>
  <si>
    <t>È contro tutto nuovo nella azienda</t>
  </si>
  <si>
    <t>Può impedire o ritardare il processo di innovazione</t>
  </si>
  <si>
    <t>Power promoters</t>
  </si>
  <si>
    <t>Has a high hierarchical position</t>
  </si>
  <si>
    <t>Can convince and inspire</t>
  </si>
  <si>
    <t>Kann übezeugen und begeistern</t>
  </si>
  <si>
    <t>Can provide resources</t>
  </si>
  <si>
    <t>Can protect and support people who are open to innovation</t>
  </si>
  <si>
    <t>Can sanction opponents</t>
  </si>
  <si>
    <t>Expert promoters</t>
  </si>
  <si>
    <t>Has a high expert competence</t>
  </si>
  <si>
    <t>Evaluates new and complex problems</t>
  </si>
  <si>
    <t>Developes solutions to overcome problems and obstacles</t>
  </si>
  <si>
    <t>Leads the innovation process by transmitting its expertise</t>
  </si>
  <si>
    <t>Implements the solution measures</t>
  </si>
  <si>
    <t>Process promoters</t>
  </si>
  <si>
    <t>Knows the organizational structure  very well</t>
  </si>
  <si>
    <t>Establishes contacts and links between the expert promoters and power promoters</t>
  </si>
  <si>
    <t>Collects and filters information about your organization</t>
  </si>
  <si>
    <t>Translates and interprets information for internal use</t>
  </si>
  <si>
    <t>Supports the change process indirectly</t>
  </si>
  <si>
    <t>Relations promoters</t>
  </si>
  <si>
    <t>Has an extensive network of personal contacts</t>
  </si>
  <si>
    <t>Maintains within the organization good and friendly relations</t>
  </si>
  <si>
    <t>Is accepted and respected across all levels</t>
  </si>
  <si>
    <t>Forges new internal and external networks</t>
  </si>
  <si>
    <t>Negotiates between the different actors</t>
  </si>
  <si>
    <t>Opponents</t>
  </si>
  <si>
    <t>Is against all novelties in the company</t>
  </si>
  <si>
    <t>Can hinder or delay the process of innovation</t>
  </si>
  <si>
    <t>xyz</t>
  </si>
  <si>
    <t>Succès (dernière période)</t>
  </si>
  <si>
    <t>Problèmes spécifiques (dernière période)</t>
  </si>
  <si>
    <t>Défis (prochaine période)</t>
  </si>
  <si>
    <t>Team</t>
  </si>
  <si>
    <t>Berechnung</t>
  </si>
  <si>
    <t>Calcul</t>
  </si>
  <si>
    <t>Calculation</t>
  </si>
  <si>
    <t> Calcolo</t>
  </si>
  <si>
    <t>Beschreibung/Bemerkungen</t>
  </si>
  <si>
    <t>Description/Remarques</t>
  </si>
  <si>
    <t>Description/Remarks</t>
  </si>
  <si>
    <t> Descrizione/Osservazioni</t>
  </si>
  <si>
    <t>Quelle</t>
  </si>
  <si>
    <t>Source</t>
  </si>
  <si>
    <t> Fonte</t>
  </si>
  <si>
    <t>I N D I K A T O R E N</t>
  </si>
  <si>
    <t>I N D I C A T E U R S</t>
  </si>
  <si>
    <t xml:space="preserve"> I  N  D  I  C  A  T  O  R  S</t>
  </si>
  <si>
    <t> I N D I C A T O R I</t>
  </si>
  <si>
    <t>i1</t>
  </si>
  <si>
    <t>i2</t>
  </si>
  <si>
    <t>i3</t>
  </si>
  <si>
    <t>i4</t>
  </si>
  <si>
    <t>i5</t>
  </si>
  <si>
    <t>i6</t>
  </si>
  <si>
    <t>Erhebungszeitpunkt</t>
  </si>
  <si>
    <t>Moment de l'enquête</t>
  </si>
  <si>
    <t>Time of the survey</t>
  </si>
  <si>
    <t> Momento della rilevazione</t>
  </si>
  <si>
    <t>Objectif 1</t>
  </si>
  <si>
    <t>realisierte Stunden</t>
  </si>
  <si>
    <t>heures réalisées</t>
  </si>
  <si>
    <t>ore realizzate</t>
  </si>
  <si>
    <t>realized hours</t>
  </si>
  <si>
    <t>Objectif 2</t>
  </si>
  <si>
    <t>Indicator 2</t>
  </si>
  <si>
    <t>CHF</t>
  </si>
  <si>
    <t>Aperçu des heures</t>
  </si>
  <si>
    <t>Übersicht der Stunden</t>
  </si>
  <si>
    <t>Overview of the hours</t>
  </si>
  <si>
    <t>Panoramica delle ore</t>
  </si>
  <si>
    <t>zugeordnete Stunden</t>
  </si>
  <si>
    <t>heures attribuées</t>
  </si>
  <si>
    <t>allocated hours</t>
  </si>
  <si>
    <t>ore attribuite</t>
  </si>
  <si>
    <t>Budget Stunden</t>
  </si>
  <si>
    <t>heures budget</t>
  </si>
  <si>
    <t>hours budget</t>
  </si>
  <si>
    <t>ore budget</t>
  </si>
  <si>
    <t>Stunden Team realisiert</t>
  </si>
  <si>
    <t>Stunden Team verplant</t>
  </si>
  <si>
    <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dr. s.</t>
    </r>
    <r>
      <rPr>
        <sz val="8"/>
        <color rgb="FFFF0000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mboden 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</si>
  <si>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s.</t>
    </r>
    <r>
      <rPr>
        <sz val="8"/>
        <color rgb="FFFF0000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mboden 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</si>
  <si>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t>Objectifs du projet (SMART = Spécifique, Mesurable, Acceptable, Réalisable, Temps)</t>
  </si>
  <si>
    <t>Verantwortungsmatrix</t>
  </si>
  <si>
    <t>Matrice des responsabilités</t>
  </si>
  <si>
    <t>Responsibility matrix</t>
  </si>
  <si>
    <t>Matrice di responsabilità</t>
  </si>
  <si>
    <t>Gesamtverantwortung</t>
  </si>
  <si>
    <t>Responsabilité globale</t>
  </si>
  <si>
    <t>Overall responsibility</t>
  </si>
  <si>
    <t>Responsabilità generale</t>
  </si>
  <si>
    <t>Entscheidung</t>
  </si>
  <si>
    <t>Décision</t>
  </si>
  <si>
    <t>Decision</t>
  </si>
  <si>
    <t>Decisione</t>
  </si>
  <si>
    <t>Mitarbeit</t>
  </si>
  <si>
    <t>Coopération</t>
  </si>
  <si>
    <t>Cooperation</t>
  </si>
  <si>
    <t>Cooperazione</t>
  </si>
  <si>
    <t>Information</t>
  </si>
  <si>
    <t>Informazioni</t>
  </si>
  <si>
    <t>G</t>
  </si>
  <si>
    <t>R</t>
  </si>
  <si>
    <t>O</t>
  </si>
  <si>
    <t>E</t>
  </si>
  <si>
    <t>D</t>
  </si>
  <si>
    <t>M</t>
  </si>
  <si>
    <t>C</t>
  </si>
  <si>
    <t>I</t>
  </si>
  <si>
    <t>Bereich</t>
  </si>
  <si>
    <t>Domaine</t>
  </si>
  <si>
    <t>Field</t>
  </si>
  <si>
    <t>Area</t>
  </si>
  <si>
    <t>Leer</t>
  </si>
  <si>
    <t>grün</t>
  </si>
  <si>
    <t>Breite</t>
  </si>
  <si>
    <t>orange</t>
  </si>
  <si>
    <t>Wert</t>
  </si>
  <si>
    <t>rot</t>
  </si>
  <si>
    <t>vert</t>
  </si>
  <si>
    <t>green</t>
  </si>
  <si>
    <t>red</t>
  </si>
  <si>
    <t>verde</t>
  </si>
  <si>
    <t>arrancio</t>
  </si>
  <si>
    <t>rosso</t>
  </si>
  <si>
    <t>Erwartete Ergebnisse (delivrables)</t>
  </si>
  <si>
    <t>Livrables attendus</t>
  </si>
  <si>
    <t>Pprodotti attesi (delivrables)</t>
  </si>
  <si>
    <t>Deliverables</t>
  </si>
  <si>
    <t>Teamleader</t>
  </si>
  <si>
    <t>Projektname:</t>
  </si>
  <si>
    <t>Nome progetto:</t>
  </si>
  <si>
    <t>T1</t>
  </si>
  <si>
    <t>Spalte1</t>
  </si>
  <si>
    <t>Spalte2</t>
  </si>
  <si>
    <t>Spalte3</t>
  </si>
  <si>
    <t>Spalte4</t>
  </si>
  <si>
    <t>Spalte12</t>
  </si>
  <si>
    <t>5-W Methode</t>
  </si>
  <si>
    <t>Méthode 5-P</t>
  </si>
  <si>
    <t>5-W methode</t>
  </si>
  <si>
    <t>Metodo 5-P</t>
  </si>
  <si>
    <t>Pourquoi ?</t>
  </si>
  <si>
    <t>Warum?</t>
  </si>
  <si>
    <t>Why?</t>
  </si>
  <si>
    <t>Perché?</t>
  </si>
  <si>
    <t>Problème</t>
  </si>
  <si>
    <t>Problema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</si>
  <si>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</si>
  <si>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</si>
  <si>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</si>
  <si>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</si>
  <si>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</si>
  <si>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</si>
  <si>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</si>
  <si>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</si>
  <si>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</si>
  <si>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</si>
  <si>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</si>
  <si>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</si>
  <si>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</si>
  <si>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</si>
  <si>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</si>
  <si>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</si>
  <si>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</si>
  <si>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</si>
  <si>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</si>
  <si>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</si>
  <si>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</si>
  <si>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</si>
  <si>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</si>
  <si>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</si>
  <si>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</si>
  <si>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</si>
  <si>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</si>
  <si>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</si>
  <si>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</si>
  <si>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</si>
  <si>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 COMUNICAZIONE</t>
  </si>
  <si>
    <t>Ziele</t>
  </si>
  <si>
    <t>Objectifs</t>
  </si>
  <si>
    <t>Goals</t>
  </si>
  <si>
    <t> Obiettivi</t>
  </si>
  <si>
    <t>Periodizität</t>
  </si>
  <si>
    <t>Périodicité</t>
  </si>
  <si>
    <t>Periodicity</t>
  </si>
  <si>
    <t>Periodicità</t>
  </si>
  <si>
    <t> Internet</t>
  </si>
  <si>
    <t> Social media</t>
  </si>
  <si>
    <t> Pubbliche relazioni</t>
  </si>
  <si>
    <t> Varie</t>
  </si>
  <si>
    <t> Impatto</t>
  </si>
  <si>
    <t> N.</t>
  </si>
  <si>
    <t> Pubblico target</t>
  </si>
  <si>
    <t> in %</t>
  </si>
  <si>
    <t> Messaggio chiave</t>
  </si>
  <si>
    <t> Indicatori</t>
  </si>
  <si>
    <t> Priorità</t>
  </si>
  <si>
    <t> Osservazioni</t>
  </si>
  <si>
    <t> Chi?</t>
  </si>
  <si>
    <t>Kanal</t>
  </si>
  <si>
    <t>Canal</t>
  </si>
  <si>
    <t>Channel</t>
  </si>
  <si>
    <t>Canale</t>
  </si>
  <si>
    <t>Durée
(jours)</t>
  </si>
  <si>
    <t>Period
(days)</t>
  </si>
  <si>
    <t>Durata
(giorni)</t>
  </si>
  <si>
    <t>Dauer
(Tage)</t>
  </si>
  <si>
    <t>Groupe 4</t>
  </si>
  <si>
    <t>Fortschritt</t>
  </si>
  <si>
    <t>Avancement</t>
  </si>
  <si>
    <t>Progress</t>
  </si>
  <si>
    <t>avanzamento</t>
  </si>
  <si>
    <t>p81</t>
  </si>
  <si>
    <t>p82</t>
  </si>
  <si>
    <t>p83</t>
  </si>
  <si>
    <t>p84</t>
  </si>
  <si>
    <t>Étapes</t>
  </si>
  <si>
    <t>Phasen</t>
  </si>
  <si>
    <t>Steps</t>
  </si>
  <si>
    <t>Fasi</t>
  </si>
  <si>
    <t>Obiettivi</t>
  </si>
  <si>
    <t>Aktivitäten</t>
  </si>
  <si>
    <t>Activités</t>
  </si>
  <si>
    <t>Activities</t>
  </si>
  <si>
    <t>Attività</t>
  </si>
  <si>
    <t xml:space="preserve">Livrables </t>
  </si>
  <si>
    <t>Ergebnisse</t>
  </si>
  <si>
    <t>Échéance</t>
  </si>
  <si>
    <t>Timeline</t>
  </si>
  <si>
    <t>Fristen</t>
  </si>
  <si>
    <t>Scadenza</t>
  </si>
  <si>
    <t>Organigramm</t>
  </si>
  <si>
    <t>Organigramme</t>
  </si>
  <si>
    <t>Organization chart</t>
  </si>
  <si>
    <t>Organigramma</t>
  </si>
  <si>
    <t>Totale</t>
  </si>
  <si>
    <t>1. Economie</t>
  </si>
  <si>
    <t>2. Environnement</t>
  </si>
  <si>
    <t>2.2 Energie</t>
  </si>
  <si>
    <t>3. Société</t>
  </si>
  <si>
    <t>3.3 Cohésion sociale</t>
  </si>
  <si>
    <t>Informations complémentaires :</t>
  </si>
  <si>
    <t>Justification de l'évaluation :</t>
  </si>
  <si>
    <t>Risques de répercussions négatives :</t>
  </si>
  <si>
    <t>Potentiel d'amélioration :</t>
  </si>
  <si>
    <t>très favorable</t>
  </si>
  <si>
    <t>très défavorable</t>
  </si>
  <si>
    <t>pas concerné</t>
  </si>
  <si>
    <t>Comment évaluer :</t>
  </si>
  <si>
    <t>Nachhaltige Entwicklung</t>
  </si>
  <si>
    <t>Economie</t>
  </si>
  <si>
    <t>Environnement</t>
  </si>
  <si>
    <t>Société</t>
  </si>
  <si>
    <t>Résultats</t>
  </si>
  <si>
    <t>Wirtschaft</t>
  </si>
  <si>
    <t>Umwelt</t>
  </si>
  <si>
    <t>Gesellschaft</t>
  </si>
  <si>
    <t>Resultate</t>
  </si>
  <si>
    <t>Développement durable</t>
  </si>
  <si>
    <t>Wie beurteilen :</t>
  </si>
  <si>
    <t>Begründung der Beurteilung :</t>
  </si>
  <si>
    <t>Risiko negativer Auswirkungen :</t>
  </si>
  <si>
    <t>Verbesserungspotenzial :</t>
  </si>
  <si>
    <t>Zusätzliche Angaben :</t>
  </si>
  <si>
    <t>sehr vorteilhaft</t>
  </si>
  <si>
    <t>sehr ungünstig</t>
  </si>
  <si>
    <t>nicht betroffen</t>
  </si>
  <si>
    <t>1. Wirtschaft</t>
  </si>
  <si>
    <t>weiter</t>
  </si>
  <si>
    <t>zurück</t>
  </si>
  <si>
    <t>suite</t>
  </si>
  <si>
    <t>retour</t>
  </si>
  <si>
    <t>2. Umwelt</t>
  </si>
  <si>
    <t>3. Gesellschaft</t>
  </si>
  <si>
    <t>Punkte</t>
  </si>
  <si>
    <t>1.3 Wettbewerb</t>
  </si>
  <si>
    <t>2.3 Mobilität</t>
  </si>
  <si>
    <t>2.5 Wasser/Boden</t>
  </si>
  <si>
    <t>2.6 Luft</t>
  </si>
  <si>
    <t>3.1 Gesundheit</t>
  </si>
  <si>
    <t>3.2 Ausbildung</t>
  </si>
  <si>
    <t>3.3 Soziale Kohäsion</t>
  </si>
  <si>
    <t>3.4 Lebensraum</t>
  </si>
  <si>
    <t>3.5 Recht&amp;Sicherheit</t>
  </si>
  <si>
    <t>3.6 Governance</t>
  </si>
  <si>
    <t>Développement durable : résultats</t>
  </si>
  <si>
    <t>1.1 Création de valeur</t>
  </si>
  <si>
    <t>1.4 Finances</t>
  </si>
  <si>
    <t>2.1 Biodiversité</t>
  </si>
  <si>
    <t>2.2 Énergie</t>
  </si>
  <si>
    <t>2.3 Mobilité</t>
  </si>
  <si>
    <t>2.5 Eau/sol</t>
  </si>
  <si>
    <t>2.7 Risques</t>
  </si>
  <si>
    <t>3.1 Santé</t>
  </si>
  <si>
    <t>3.5 Droit et sécurité</t>
  </si>
  <si>
    <t>3.6 Gouvernance</t>
  </si>
  <si>
    <t>1.3 Compétitivité</t>
  </si>
  <si>
    <t>1.5 Viabilité</t>
  </si>
  <si>
    <t>1.6 Adéquation</t>
  </si>
  <si>
    <t>2.4 Ressources</t>
  </si>
  <si>
    <t>2.6 Air</t>
  </si>
  <si>
    <t>3.2 Education</t>
  </si>
  <si>
    <t>3.4 Cadre de vie</t>
  </si>
  <si>
    <t>1.2 Conditions-cadres</t>
  </si>
  <si>
    <t>Sustainable development</t>
  </si>
  <si>
    <t>How to assess :</t>
  </si>
  <si>
    <t>Rationale for assessment :</t>
  </si>
  <si>
    <t>Risk of negative impact :</t>
  </si>
  <si>
    <t>Potential for improvement :</t>
  </si>
  <si>
    <t>very favorable</t>
  </si>
  <si>
    <t>very unfavorable</t>
  </si>
  <si>
    <t>not affected</t>
  </si>
  <si>
    <t>Additional information :</t>
  </si>
  <si>
    <t>Economy</t>
  </si>
  <si>
    <t>Environment</t>
  </si>
  <si>
    <t>Society</t>
  </si>
  <si>
    <t>Results</t>
  </si>
  <si>
    <t>back</t>
  </si>
  <si>
    <t>1. Economia</t>
  </si>
  <si>
    <t>1. Economy</t>
  </si>
  <si>
    <t>Come valutare :</t>
  </si>
  <si>
    <t>Giustificazione della valutazione :</t>
  </si>
  <si>
    <t>Rischi di ripercussioni negative :</t>
  </si>
  <si>
    <t>Potenziale di miglioramento :</t>
  </si>
  <si>
    <t>2. Environment</t>
  </si>
  <si>
    <t>2. Ambiente</t>
  </si>
  <si>
    <t>3. Società</t>
  </si>
  <si>
    <t>1.1 Value creation</t>
  </si>
  <si>
    <t>1.2 Framework conditions</t>
  </si>
  <si>
    <t>1.3 Competitiveness</t>
  </si>
  <si>
    <t>1.4 Finance</t>
  </si>
  <si>
    <t>1.5 Sustainability</t>
  </si>
  <si>
    <t>1.6 Adequacy</t>
  </si>
  <si>
    <t>2.1 Biodiversity</t>
  </si>
  <si>
    <t>2.2 Energy</t>
  </si>
  <si>
    <t>2.3 Mobility</t>
  </si>
  <si>
    <t>2.4 Resources</t>
  </si>
  <si>
    <t>2.5 Water/Soil</t>
  </si>
  <si>
    <t>2.7 Risks</t>
  </si>
  <si>
    <t>3.1 Health</t>
  </si>
  <si>
    <t>3.3 Social cohesion</t>
  </si>
  <si>
    <t>3.4 Living environment</t>
  </si>
  <si>
    <t>3.5 Law and Security</t>
  </si>
  <si>
    <t>1.1 Creazione di valore</t>
  </si>
  <si>
    <t>1.2 Condizioni quadro</t>
  </si>
  <si>
    <t>1.3 Competitività</t>
  </si>
  <si>
    <t>1.4 Finanze</t>
  </si>
  <si>
    <t>1.5 Sostenibilità</t>
  </si>
  <si>
    <t>1.6 Adeguatezza</t>
  </si>
  <si>
    <t>2.1 Biodiversità</t>
  </si>
  <si>
    <t>2.2 Energia</t>
  </si>
  <si>
    <t>2.3 Mobilità</t>
  </si>
  <si>
    <t>2.4 Risorse</t>
  </si>
  <si>
    <t>2.5 Acqua/Suolo</t>
  </si>
  <si>
    <t>2.6 Aria</t>
  </si>
  <si>
    <t>2.7 Rischi</t>
  </si>
  <si>
    <t>3.1 Salute</t>
  </si>
  <si>
    <t>3.2 Educazione</t>
  </si>
  <si>
    <t>3.3 Coesione sociale</t>
  </si>
  <si>
    <t>3.4 Ambiente di vita</t>
  </si>
  <si>
    <t>3.5 Legge e sicurezza</t>
  </si>
  <si>
    <t>molto favorevole</t>
  </si>
  <si>
    <t>molto sfavorevole</t>
  </si>
  <si>
    <t>Ulteriori informazioni :</t>
  </si>
  <si>
    <t>Economia</t>
  </si>
  <si>
    <t>Ambiente</t>
  </si>
  <si>
    <t>Risultati</t>
  </si>
  <si>
    <t>ritorna</t>
  </si>
  <si>
    <t>Società</t>
  </si>
  <si>
    <t>continuare</t>
  </si>
  <si>
    <t>Sviluppo sostenibile: risultati</t>
  </si>
  <si>
    <t>Sviluppo sostenibile</t>
  </si>
  <si>
    <t>non riguarda</t>
  </si>
  <si>
    <t>3. society</t>
  </si>
  <si>
    <t>Points</t>
  </si>
  <si>
    <t>Punti</t>
  </si>
  <si>
    <t>Details</t>
  </si>
  <si>
    <t>Dettagli</t>
  </si>
  <si>
    <t>Détails</t>
  </si>
  <si>
    <t>Nachhaltige Entwicklung: Resultate</t>
  </si>
  <si>
    <t>Unternehmen:</t>
  </si>
  <si>
    <t>Entreprise :</t>
  </si>
  <si>
    <t>Company:</t>
  </si>
  <si>
    <t>Azienda:</t>
  </si>
  <si>
    <t>Name:</t>
  </si>
  <si>
    <t>Nom :</t>
  </si>
  <si>
    <t>Nome:</t>
  </si>
  <si>
    <t>Frequently Asked Questions (FAQ)</t>
  </si>
  <si>
    <t>Frage</t>
  </si>
  <si>
    <t>Question</t>
  </si>
  <si>
    <t>Questione</t>
  </si>
  <si>
    <t>Antwort</t>
  </si>
  <si>
    <t>Réponse</t>
  </si>
  <si>
    <t>Risposta</t>
  </si>
  <si>
    <t>Answer</t>
  </si>
  <si>
    <t>CHF? h?</t>
  </si>
  <si>
    <t>Secteur public</t>
  </si>
  <si>
    <t>Öffentliche Hand</t>
  </si>
  <si>
    <t>Public sector</t>
  </si>
  <si>
    <t>Settore pubblico</t>
  </si>
  <si>
    <t>KEINE
ARMUT</t>
  </si>
  <si>
    <t>KEIN
HUNGER</t>
  </si>
  <si>
    <t>GESUNDHEIT UND
WOHLERGEHEN</t>
  </si>
  <si>
    <t>HOCHWERTIGE
BILDUNG</t>
  </si>
  <si>
    <t>GESCHLECHTER-
GLEICHSTELLUNG</t>
  </si>
  <si>
    <t>BEZAHLBARE UND
SAUBERE ENERGIE</t>
  </si>
  <si>
    <t>MENSCHENWÜRDIGE
ARBEIT UND
WIRTSCHAFTS-
WACHSTUM</t>
  </si>
  <si>
    <t>WENIGER 
UNGLEICHHEITEN</t>
  </si>
  <si>
    <t>NACHHALTIGE STÄDTE
UND GEMEINDEN</t>
  </si>
  <si>
    <t>NACHHALTIGE/R
KONSUM UND
PRODUKTION</t>
  </si>
  <si>
    <t>MASSNAHMEN ZUM
KLIMASCHUTZ</t>
  </si>
  <si>
    <t>LEBEN UNTER
WASSER</t>
  </si>
  <si>
    <t>LEBEN AN
LAND</t>
  </si>
  <si>
    <t>PARTNERSCHAFTEN
ZUR ERREICHUNG
DER ZIELE</t>
  </si>
  <si>
    <t>SAUBERES WASSER
UND SANITÄR-
EINRICHTUNGEN</t>
  </si>
  <si>
    <t>INDUSTRIE, INNOVATION UND INFRASTRUKTUR</t>
  </si>
  <si>
    <t>FRIEDEN, GERECHTIGKEIT UND STARKE INSTITUTIONEN</t>
  </si>
  <si>
    <t>GOOD HEALTH AND WELL-BEING</t>
  </si>
  <si>
    <t>QUALITY EDUCATION</t>
  </si>
  <si>
    <t>GENDER EQUALITY</t>
  </si>
  <si>
    <t>CLEAN WATER AND SANITATION</t>
  </si>
  <si>
    <t>AFFORDABLE AND CLEAN ENERGY</t>
  </si>
  <si>
    <t>DECENT WORK AND ECONOMIC GROWTH</t>
  </si>
  <si>
    <t>INDUSTRY, INNOVATION AND INFRASTRUTURE</t>
  </si>
  <si>
    <t>REDUCED INEQUALITIES</t>
  </si>
  <si>
    <t>SUSTAINABLE CITIES AND COMMUNITIES</t>
  </si>
  <si>
    <t>RESPONSABLE CONSUMPTION AND PRODUCTION</t>
  </si>
  <si>
    <t>CLIMAT ACTION</t>
  </si>
  <si>
    <t>LIFE BELOW WATER</t>
  </si>
  <si>
    <t>LIFE ON LAND</t>
  </si>
  <si>
    <t>PEACE, JUSTICE AND STRONT INSTITUTIONS</t>
  </si>
  <si>
    <t>PARTNERSHIP FOR THE GOALS</t>
  </si>
  <si>
    <t>NO 
POVERTY</t>
  </si>
  <si>
    <t>ZERO 
HUNGER</t>
  </si>
  <si>
    <t>PAS
DE PAUVRETE</t>
  </si>
  <si>
    <t>FAIM
"ZERO"</t>
  </si>
  <si>
    <t>BONNE SANTE
ET BIEN-ÊTRE</t>
  </si>
  <si>
    <t>EDUCATION DE QUALITE</t>
  </si>
  <si>
    <t>EGALITE ENTRE LES SEXES</t>
  </si>
  <si>
    <t>EAU PROPRE ET ASSAINISSEMENT</t>
  </si>
  <si>
    <t>ENERGIE PROPRE ET ABORDABLE</t>
  </si>
  <si>
    <t>TRAVAIL DECENT ET CROISSANCE ECONOMIQUE</t>
  </si>
  <si>
    <t>INDUSTRIE, INNOVATION ET INFRASTRUCTURE</t>
  </si>
  <si>
    <t>INEGALITE REDUITES</t>
  </si>
  <si>
    <t>VILLES ET COMMUNAUTES DURABLES</t>
  </si>
  <si>
    <t>CONSOMMATION ET PRODUCTION RESPONSABLES</t>
  </si>
  <si>
    <t>LUTTE CONTRE LES CHANGEMENTS CLIMATIQUES</t>
  </si>
  <si>
    <t>VIE AQUATIQUE</t>
  </si>
  <si>
    <t>VIE TERRESTRE</t>
  </si>
  <si>
    <t>PAIX, JUSTICE ET INSTITUTIONS EFFICACES</t>
  </si>
  <si>
    <t>PARTENARIAT POUR LA REALISATION DES OBJECTIFS</t>
  </si>
  <si>
    <t>BUONA SALUTE
E BENESSERE</t>
  </si>
  <si>
    <t>ACQUA PULITA E SERVIZI IGIENICI</t>
  </si>
  <si>
    <t>ENERGIA PULITA E ACCESSIBILE</t>
  </si>
  <si>
    <t>LAVORO DIGNITOSO E CRESCITA ECONOMICA</t>
  </si>
  <si>
    <t>CITTÀ E COMUNITÀ SOSTENIBILI</t>
  </si>
  <si>
    <t>CONSUMO E PRODUZIONE RESPONSABILE</t>
  </si>
  <si>
    <t>SCONFIGGERE
LA POVERTÀ</t>
  </si>
  <si>
    <t>SCONFIGGERE LA FAME</t>
  </si>
  <si>
    <t>ISTRUZIONE DI QULITÀ</t>
  </si>
  <si>
    <t>PARITÀ DI GENERE</t>
  </si>
  <si>
    <t>IMPRESE INNOVAZIONE E INFRASTRUTTURE</t>
  </si>
  <si>
    <t xml:space="preserve">RIDURRE LE DISUGUAGLIANZE </t>
  </si>
  <si>
    <t>LOTTA CONTRE IL CAMBIAMENTO CLIMATICO</t>
  </si>
  <si>
    <t>VITA SOTT'ACQUA</t>
  </si>
  <si>
    <t>VITA SULLA TERRA</t>
  </si>
  <si>
    <t>PACE, GIUSTIZIA E ISTITUZIONI SOLIDE</t>
  </si>
  <si>
    <t>PARTNERSHIP PER GLI OBIETTIVI</t>
  </si>
  <si>
    <t>Peace, dignity and equality on a health planet</t>
  </si>
  <si>
    <t xml:space="preserve"> Armut in allen ihren Formen und überall beenden</t>
  </si>
  <si>
    <t>Den Hunger beenden, Ernährungssicherheit und eine bessere Ernährung erreichen und eine nachhaltige Landwirtschaft fördern</t>
  </si>
  <si>
    <t>Ein gesundes Leben für alle Menschen jeden Alters gewährleisten und ihr Wohlergehen fördern</t>
  </si>
  <si>
    <t>Inklusive, gleichberechtigte und hochwertige Bildung gewährleisten und Möglichkeiten lebenslangen Lernens für alle fördern</t>
  </si>
  <si>
    <t>Geschlechtergleichstellung erreichen und alle Frauen und Mädchen zur Selbstbestimmung befähigen</t>
  </si>
  <si>
    <t>Verfügbarkeit und nachhaltige Bewirtschaftung von Wasser und Sanitärversorgung für alle gewährleisten</t>
  </si>
  <si>
    <t>Zugang zu bezahlbarer, verlässlicher, nachhaltiger und moderner Energie für alle sichern</t>
  </si>
  <si>
    <t>Dauerhaftes, breitenwirksames und nachhaltiges Wirtschaftswachstum, produktive Vollbeschäftigung und menschenwürdige Arbeit für alle fördern</t>
  </si>
  <si>
    <t>Eine widerstandsfähige Infrastruktur aufbauen, breitenwirksame und nachhaltige Industrialisierung fördern und Innovationen unterstützen</t>
  </si>
  <si>
    <t>Ungleichheit in und zwischen Ländern verringern</t>
  </si>
  <si>
    <t>Städte und Siedlungen inklusiv, sicher, widerstandsfähig und nachhaltig gestalten</t>
  </si>
  <si>
    <t>Nachhaltige Konsum- und Produktionsmuster sicherstellen</t>
  </si>
  <si>
    <t>Umgehend Maßnahmen zur Bekämpfung des Klimawandels und seiner Auswirkungen ergreifen</t>
  </si>
  <si>
    <t>Ozeane, Meere und Meeresressourcen im Sinne nachhaltiger Entwicklung erhalten und nachhaltig nutzen</t>
  </si>
  <si>
    <t>Landökosysteme schützen, wiederherstellen und ihre nachhaltige Nutzung fördern, Wälder nachhaltig bewirtschaften, Wüstenbildung bekämpfen, Bodendegradation beenden und umkehren und dem Verlust der biologischen Vielfalt ein Ende setzen</t>
  </si>
  <si>
    <t>Friedliche und inklusive Gesellschaften für eine nachhaltige Entwicklung fördern, allen Menschen Zugang zur Justiz ermöglichen und leistungsfähige, rechenschaftspflichtige und inklusive Institutionen auf allen Ebenen aufbauen</t>
  </si>
  <si>
    <t>Umsetzungsmittel stärken und die Globale Partnerschaft für nachhaltige Entwicklung mit neuem Leben erfüllen</t>
  </si>
  <si>
    <t>Éliminer la pauvreté sous toutes ses formes et partout dans le monde</t>
  </si>
  <si>
    <t>Éliminer la faim, assurer la sécurité alimentaire, améliorer la nutrition et promouvoir l ’agriculture durable</t>
  </si>
  <si>
    <t>Permettre à tous de vivre en bonne santé et promouvoir le bien-être de tous à tout âge</t>
  </si>
  <si>
    <t>Assurer à tous une éducation équitable, inclusive et de qualité et des possibilités d ’apprentissage tout au long de la vie</t>
  </si>
  <si>
    <t>Garantir l’accès de tous à des services d ’alimentation en eau et d’assainissement gérés de façon durable</t>
  </si>
  <si>
    <t>Garantir l’accès de tous à des services énergét iques fiables, durables et modernes, à un coût abordable</t>
  </si>
  <si>
    <t>Promouvoir une croissance économique soutenue, partagée et durable, le plein emploi productif et un travail décent pour tous</t>
  </si>
  <si>
    <t>Bâtir une infrastructure résiliente, pro mouvoir une industrialisation durable qui profite à tous et encourager l’innovation</t>
  </si>
  <si>
    <t>Réduire les inégalités dans les pays et d ’un pays à l’autre</t>
  </si>
  <si>
    <t>Faire en sorte que les villes et les établissements humains soient ouverts à tous, sûrs, résilients et durables</t>
  </si>
  <si>
    <t>Établir des modes de consommation et de production durables</t>
  </si>
  <si>
    <t>Prendre d’urgence des mesures pour lutter contre les changements climatiques et leurs répercussions</t>
  </si>
  <si>
    <t>Conserver et exploiter de manière durable les océans, les mers et les ressources marines aux fins du développement durable</t>
  </si>
  <si>
    <t>Préserver et restaurer les écosystèmes terrestres, en veillant à les exploiter de façon durable, gérer durablement les forêts, lutter contre la désertification, enrayer et inverser le processus de dégradation des terres et mettre fin à l’appauvrissement de la biodiversité</t>
  </si>
  <si>
    <t>Promouvoir l’avènement de sociétés pacifiques et inclusives aux fins du développement durable, assurer l’accès de tous à la justice et mettre en place, à tous les niveaux, des institutions efficaces, responsables et ouvertes à tous</t>
  </si>
  <si>
    <t>Renforcer  les  moyens  de  mettre  en  œuvre  le  Partenariat mondial pour le développement durable et le revitaliser</t>
  </si>
  <si>
    <t>Parvenir à l’égalité  des sexes et autonomiser toutes  les femmes et les filles</t>
  </si>
  <si>
    <t>End poverty in all its forms everywhere</t>
  </si>
  <si>
    <t>End hunger, achieve food security and improved nutrition and promote sustainable agriculture</t>
  </si>
  <si>
    <t>Ensure healthy lives and promote well-being for all at all ages</t>
  </si>
  <si>
    <t>Ensure inclusive and equitable quality education and promote lifelong learning opportunities for all</t>
  </si>
  <si>
    <t>Achieve gender equality and empower all wo men and girls</t>
  </si>
  <si>
    <t>Ensure availability and sustainable management of water and sanitation for all</t>
  </si>
  <si>
    <t>Ensure access to affordable, reliable, sustainable and modern energy for all</t>
  </si>
  <si>
    <t>Promote sustained, inclusive and sustainable economic growth, full and productive employment and decent work for all</t>
  </si>
  <si>
    <t>Build resilient infrastructure, promote inclusive and sustainable industrialization and foster innovation</t>
  </si>
  <si>
    <t>Reduce inequality within and among countries</t>
  </si>
  <si>
    <t>Make cities and human settlements inclusive, safe, resilient and sustainable</t>
  </si>
  <si>
    <t>Ensure sustainable consumption and production patterns</t>
  </si>
  <si>
    <t>Take urgent action to combat climate change and its impacts</t>
  </si>
  <si>
    <t>Protect, restore and promote sustainable use of terrestrial ecosystems, sustainably manage forests, combat desertification, and halt and reverse land degradation and halt biodiversity loss</t>
  </si>
  <si>
    <t>Conserve and sustainably use the oceans, seas and marine resources for sustainable development</t>
  </si>
  <si>
    <t>Promote   peaceful   and   inclusive   societies   for   sustainable development, provide   access   to   justice   for   all   and   build effective, accountable and inclusive institutions at all levels</t>
  </si>
  <si>
    <t>Strengthen the means of implementation and revitalize the
Global Partnership for Sustainable Development</t>
  </si>
  <si>
    <t>Sradicare la povertà in tutte le sue forme e ovunque nel mondo</t>
  </si>
  <si>
    <t>Porre fine alla fame, raggiungere la sicurezza alimentare, migliorare l’alimentazione e promuovere l’agricoltura sostenibile</t>
  </si>
  <si>
    <t>Garantire una vita sana e promuovere il benessere di tutti a tutte le età</t>
  </si>
  <si>
    <t>Garantire un’istruzione di qualità inclusiva ed equa e promuovere opportunità di apprendimento continuo per tutti</t>
  </si>
  <si>
    <t>Raggiungere l’uguaglianza di genere e l’autodeterminazione di tutte le donne e ragazze</t>
  </si>
  <si>
    <t>Garantire la disponibilità e la gestione sostenibile di acqua e servizi igienici per tutti</t>
  </si>
  <si>
    <t>Garantire l’accesso all’energia a prezzo accessibile, affidabile, sostenibile e moderna per tutti</t>
  </si>
  <si>
    <t>Promuovere una crescita economica duratura, inclusiva e sostenibile, la piena occupazione e il lavoro dignitoso per tutti</t>
  </si>
  <si>
    <t>Costruire un’infrastruttura resiliente, promuovere l’industrializzazione inclusiva e sostenibile e sostenere l’innovazione</t>
  </si>
  <si>
    <t>Ridurre le disuguaglianze all’interno dei e fra i Paesi</t>
  </si>
  <si>
    <t>Rendere le città e gli insediamenti umani inclusivi, sicuri, resilienti e sostenibili</t>
  </si>
  <si>
    <t>Garantire modelli di consumo e produzione sostenibili</t>
  </si>
  <si>
    <t>Adottare misure urgenti per combattere i cambiamenti climatici e le loro conseguenze</t>
  </si>
  <si>
    <t>Conservare e utilizzare in modo sostenibile gli oceani, i mari e le risorse marine</t>
  </si>
  <si>
    <t>Proteggere, ripristinare e promuovere l’uso sostenibile degli ecosistemi terrestri, gestire in modo sostenibile le foreste, contrastare la desertificazione, arrestare e invertire il degrado dei suoli e fermare la perdita di biodiversità</t>
  </si>
  <si>
    <t>Promuovere società pacifiche e inclusive orientate allo sviluppo sostenibile, garantire a tutti l’accesso alla giustizia e costruire istituzioni efficaci, responsabili e inclusive a tutti i livelli</t>
  </si>
  <si>
    <t>Rafforzare le modalità di attuazione e rilanciare il partenariato globale per lo sviluppo sostenibile</t>
  </si>
  <si>
    <t>Paix, dignité et égalité sur une plantète saine</t>
  </si>
  <si>
    <t>Pace, dignità e uguaglianza su un pianeta sano</t>
  </si>
  <si>
    <t>Frieden, Würde und Gleichheit auf einem gesunden Planeten</t>
  </si>
  <si>
    <t>Roadmap</t>
  </si>
  <si>
    <t>Feuille de route</t>
  </si>
  <si>
    <t>Tabella di marcia</t>
  </si>
  <si>
    <t>Grob</t>
  </si>
  <si>
    <t>Detail</t>
  </si>
  <si>
    <t>Sommaire</t>
  </si>
  <si>
    <t>Détail</t>
  </si>
  <si>
    <t>Rough</t>
  </si>
  <si>
    <t>Sommario</t>
  </si>
  <si>
    <t>Dettaglio</t>
  </si>
  <si>
    <t>1.1 Wohlstand</t>
  </si>
  <si>
    <t>1.2 Kooperationen</t>
  </si>
  <si>
    <t>1.4 Ressourcen</t>
  </si>
  <si>
    <t>1.5 Wertschöpfung</t>
  </si>
  <si>
    <t>1.6 Produktion</t>
  </si>
  <si>
    <t>2.1 Ressourcenschonung</t>
  </si>
  <si>
    <t>2.4 Wiederverwertung</t>
  </si>
  <si>
    <t>2.7 Wohlbefinden</t>
  </si>
  <si>
    <t>3.6 Leadership</t>
  </si>
  <si>
    <t>next</t>
  </si>
  <si>
    <t>Sustainable development: results</t>
  </si>
  <si>
    <t>M A C H B A R K E I T</t>
  </si>
  <si>
    <t>F A I S A B I L I T É</t>
  </si>
  <si>
    <t>F E A S I B I L I T Y</t>
  </si>
  <si>
    <t>F A T T I B I L I T À</t>
  </si>
  <si>
    <t>Seguito progetto</t>
  </si>
  <si>
    <t>Monitoring</t>
  </si>
  <si>
    <t xml:space="preserve">Seguito </t>
  </si>
  <si>
    <t>Suivi</t>
  </si>
  <si>
    <t>abc def (abd)</t>
  </si>
  <si>
    <t>Right click - Link</t>
  </si>
  <si>
    <t>Pourquoi ce projet est-il nécessaire? (Opportunités, problématique, conditions-cadres)</t>
  </si>
  <si>
    <t>Why is this project necessary? (Opportunities, problematic, basic conditions)</t>
  </si>
  <si>
    <t xml:space="preserve">Warum ist dieses Projekt notwendig? (Opportunitäten, Poblematik, Rahmenbedingungen) </t>
  </si>
  <si>
    <t>Perché questo progetto è necessario? (Opportunità, problematica, condizioni quadro)</t>
  </si>
  <si>
    <t>Progrès</t>
  </si>
  <si>
    <t>Progresso</t>
  </si>
  <si>
    <t>pas d'impact</t>
  </si>
  <si>
    <t>no impact</t>
  </si>
  <si>
    <t>keine Auswirkungen</t>
  </si>
  <si>
    <t>nessun impatto</t>
  </si>
  <si>
    <t>Fragen zur Nachhaltigen Entwicklung bearbeiten</t>
  </si>
  <si>
    <t>Redazione di domande sullo sviluppo sostenibile</t>
  </si>
  <si>
    <t>Editing the questions on sustainable development</t>
  </si>
  <si>
    <t>Modifier les questions relatives au développement durable</t>
  </si>
  <si>
    <t>TO-DO Liste</t>
  </si>
  <si>
    <t>LISTE DE TÂCHES</t>
  </si>
  <si>
    <t>TO-DO list</t>
  </si>
  <si>
    <t>Lista delle cose da fare</t>
  </si>
  <si>
    <t>Wer</t>
  </si>
  <si>
    <t>Qui</t>
  </si>
  <si>
    <t>Who</t>
  </si>
  <si>
    <t>Chi</t>
  </si>
  <si>
    <t>Aufgabe / Entscheidung / Projekt</t>
  </si>
  <si>
    <t>Tâche / Décision / Projet</t>
  </si>
  <si>
    <t>Task / Decision / Project</t>
  </si>
  <si>
    <t>Compito / Decisione / Progetto</t>
  </si>
  <si>
    <t>Priorität</t>
  </si>
  <si>
    <t>Priorità</t>
  </si>
  <si>
    <t>Datum Beginn</t>
  </si>
  <si>
    <t xml:space="preserve">Date de début </t>
  </si>
  <si>
    <t>Start date</t>
  </si>
  <si>
    <t>Data di inizio</t>
  </si>
  <si>
    <t>Fälligkeits-datum</t>
  </si>
  <si>
    <t>Date d’échéance</t>
  </si>
  <si>
    <t>Due date</t>
  </si>
  <si>
    <t>Data di scadenza</t>
  </si>
  <si>
    <t>Etat</t>
  </si>
  <si>
    <t>Stato di avanzamento</t>
  </si>
  <si>
    <t>% vollendet</t>
  </si>
  <si>
    <t>% achevé</t>
  </si>
  <si>
    <t>% completed</t>
  </si>
  <si>
    <t>% completata</t>
  </si>
  <si>
    <t>abgeschlossen</t>
  </si>
  <si>
    <t>terminée</t>
  </si>
  <si>
    <t>completed</t>
  </si>
  <si>
    <t>completato</t>
  </si>
  <si>
    <t>aufgeschoben</t>
  </si>
  <si>
    <t>reportée</t>
  </si>
  <si>
    <t>reported</t>
  </si>
  <si>
    <t>differito</t>
  </si>
  <si>
    <t>Aufgabe</t>
  </si>
  <si>
    <t>Tâche</t>
  </si>
  <si>
    <t>Task</t>
  </si>
  <si>
    <t>Projekt</t>
  </si>
  <si>
    <t>Projet</t>
  </si>
  <si>
    <t>Project</t>
  </si>
  <si>
    <t>Entscheid</t>
  </si>
  <si>
    <t>Colonne3</t>
  </si>
  <si>
    <t>Colonne2</t>
  </si>
  <si>
    <t>Colonne1</t>
  </si>
  <si>
    <t>x</t>
  </si>
  <si>
    <t>ims</t>
  </si>
  <si>
    <t>Tâche 1</t>
  </si>
  <si>
    <t>cgl</t>
  </si>
  <si>
    <t>Projet 2 (faire un hyperlien fichier gestion de projet)</t>
  </si>
  <si>
    <t>voir PV du …</t>
  </si>
  <si>
    <t>Änderungsprotokoll</t>
  </si>
  <si>
    <t>Suivi des modifications</t>
  </si>
  <si>
    <t>Protocol of modifications</t>
  </si>
  <si>
    <t>Monitoraggio delle modifiche</t>
  </si>
  <si>
    <t>Änderungen</t>
  </si>
  <si>
    <t>Changement</t>
  </si>
  <si>
    <t>Modifiche</t>
  </si>
  <si>
    <t>Imboden</t>
  </si>
  <si>
    <t>Serge</t>
  </si>
  <si>
    <t>Seppey</t>
  </si>
  <si>
    <t>Sherine</t>
  </si>
  <si>
    <t>Projektleitung
(HES-SO)</t>
  </si>
  <si>
    <t>Mitarbeitende (HES-SO)</t>
  </si>
  <si>
    <t>Projet xy</t>
  </si>
  <si>
    <t>löschen</t>
  </si>
  <si>
    <t>erase</t>
  </si>
  <si>
    <t>supprimer</t>
  </si>
  <si>
    <t>cancellare</t>
  </si>
  <si>
    <t>Personne</t>
  </si>
  <si>
    <t>Externe</t>
  </si>
  <si>
    <t>Anzeigen einer Warnung, falls der Schutz deaktiviert ist?</t>
  </si>
  <si>
    <t>Afficher un avertissement si la protection est désactivée ?</t>
  </si>
  <si>
    <t>Display a warning if protection is deactivated?</t>
  </si>
  <si>
    <t>Visualizzare un avviso se la protezione è disattivata?</t>
  </si>
  <si>
    <t>ImS</t>
  </si>
  <si>
    <t>V9.0.0 Light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</si>
</sst>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43" formatCode="_ * #,##0.00_ ;_ * \-#,##0.00_ ;_ * &quot;-&quot;??_ ;_ @_ "/>
    <numFmt numFmtId="164" formatCode="_ [$SFr.-807]\ * #,##0_ ;_ [$SFr.-807]\ * \-#,##0_ ;_ [$SFr.-807]\ * &quot;-&quot;??_ ;_ @_ "/>
    <numFmt numFmtId="165" formatCode="d/m/"/>
    <numFmt numFmtId="166" formatCode="d/m/yy;@"/>
    <numFmt numFmtId="167" formatCode="_ [$Fr.-807]\ * #,##0.00_ ;_ [$Fr.-807]\ * \-#,##0.00_ ;_ [$Fr.-807]\ * &quot;-&quot;??_ ;_ @_ "/>
    <numFmt numFmtId="168" formatCode="_ * #,##0.0_ ;_ * \-#,##0.0_ ;_ * &quot;-&quot;??_ ;_ @_ "/>
    <numFmt numFmtId="169" formatCode="_-* #,##0.00\ [$€-1]_-;\-* #,##0.00\ [$€-1]_-;_-* &quot;-&quot;??\ [$€-1]_-"/>
    <numFmt numFmtId="170" formatCode="_-* #,##0.00\ &quot;DM&quot;_-;\-* #,##0.00\ &quot;DM&quot;_-;_-* &quot;-&quot;??\ &quot;DM&quot;_-;_-@_-"/>
    <numFmt numFmtId="171" formatCode="0.0"/>
    <numFmt numFmtId="172" formatCode=";;;"/>
    <numFmt numFmtId="173" formatCode="mmmm\ \'yy"/>
    <numFmt numFmtId="174" formatCode="d"/>
    <numFmt numFmtId="175" formatCode="_ [$fr.-100C]\ * #,##0.00_ ;_ [$fr.-100C]\ * \-#,##0.00_ ;_ [$fr.-100C]\ * &quot;-&quot;??_ ;_ @_ "/>
    <numFmt numFmtId="176" formatCode="#,##0.00_ ;\-#,##0.00\ "/>
    <numFmt numFmtId="177" formatCode="0_ ;\-0\ "/>
    <numFmt numFmtId="178" formatCode="_ * #,##0.0_ ;_ * \-#,##0.0_ ;_ * &quot;-&quot;?_ ;_ @_ "/>
    <numFmt numFmtId="181" formatCode="_ [$CHF-807]\ * #,##0.00_ ;_ [$CHF-807]\ * \-#,##0.00_ ;_ [$CHF-807]\ * &quot;-&quot;??_ ;_ @_ "/>
  </numFmts>
  <fonts count="168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color rgb="FFFF0000"/>
      <name val="Calibri"/>
      <family val="2"/>
      <scheme val="minor"/>
    </font>
    <font>
      <sz val="9"/>
      <color theme="0"/>
      <name val="Arial"/>
      <family val="2"/>
    </font>
    <font>
      <u/>
      <sz val="10"/>
      <color indexed="12"/>
      <name val="Verdana"/>
      <family val="2"/>
    </font>
    <font>
      <sz val="1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color indexed="12"/>
      <name val="Tahoma"/>
      <family val="2"/>
    </font>
    <font>
      <sz val="10"/>
      <color theme="0"/>
      <name val="Arial"/>
      <family val="2"/>
    </font>
    <font>
      <b/>
      <sz val="10"/>
      <color theme="5" tint="-0.249977111117893"/>
      <name val="Calibri"/>
      <family val="2"/>
      <scheme val="minor"/>
    </font>
    <font>
      <u/>
      <sz val="10"/>
      <color theme="3"/>
      <name val="Calibri"/>
      <family val="2"/>
    </font>
    <font>
      <sz val="4"/>
      <color theme="0"/>
      <name val="Calibri"/>
      <family val="2"/>
      <scheme val="minor"/>
    </font>
    <font>
      <sz val="4"/>
      <color theme="1"/>
      <name val="Calibri"/>
      <family val="2"/>
      <scheme val="minor"/>
    </font>
    <font>
      <u/>
      <sz val="7.7"/>
      <color theme="10"/>
      <name val="Calibri"/>
      <family val="2"/>
    </font>
    <font>
      <sz val="10"/>
      <color theme="1"/>
      <name val="Calibri Light"/>
      <family val="2"/>
    </font>
    <font>
      <sz val="24"/>
      <color theme="3"/>
      <name val="Calibri Light"/>
      <family val="2"/>
    </font>
    <font>
      <sz val="14"/>
      <color theme="0" tint="-0.499984740745262"/>
      <name val="Calibri Light"/>
      <family val="2"/>
    </font>
    <font>
      <b/>
      <sz val="24"/>
      <color theme="3"/>
      <name val="Calibri Light"/>
      <family val="2"/>
    </font>
    <font>
      <sz val="24"/>
      <color rgb="FFFF0000"/>
      <name val="Calibri Light"/>
      <family val="2"/>
    </font>
    <font>
      <sz val="18"/>
      <color theme="1"/>
      <name val="Calibri Light"/>
      <family val="2"/>
    </font>
    <font>
      <sz val="11"/>
      <color theme="1"/>
      <name val="Calibri Light"/>
      <family val="2"/>
    </font>
    <font>
      <sz val="10"/>
      <color theme="1" tint="0.499984740745262"/>
      <name val="Calibri Light"/>
      <family val="2"/>
    </font>
    <font>
      <sz val="10"/>
      <color theme="3"/>
      <name val="Calibri Light"/>
      <family val="2"/>
    </font>
    <font>
      <sz val="9"/>
      <color rgb="FFFF0000"/>
      <name val="Calibri Light"/>
      <family val="2"/>
    </font>
    <font>
      <sz val="9"/>
      <color theme="1" tint="0.499984740745262"/>
      <name val="Calibri Light"/>
      <family val="2"/>
    </font>
    <font>
      <sz val="8"/>
      <color theme="0"/>
      <name val="Calibri Light"/>
      <family val="2"/>
    </font>
    <font>
      <sz val="11"/>
      <color theme="1" tint="0.499984740745262"/>
      <name val="Calibri Light"/>
      <family val="2"/>
    </font>
    <font>
      <sz val="11"/>
      <color theme="3"/>
      <name val="Calibri Light"/>
      <family val="2"/>
    </font>
    <font>
      <sz val="16"/>
      <color theme="4" tint="-0.249977111117893"/>
      <name val="Calibri Light"/>
      <family val="2"/>
    </font>
    <font>
      <u/>
      <sz val="7.7"/>
      <color theme="0"/>
      <name val="Calibri Light"/>
      <family val="2"/>
    </font>
    <font>
      <sz val="14"/>
      <color theme="1"/>
      <name val="Calibri Light"/>
      <family val="2"/>
    </font>
    <font>
      <sz val="9"/>
      <color theme="1"/>
      <name val="Calibri Light"/>
      <family val="2"/>
    </font>
    <font>
      <b/>
      <sz val="11"/>
      <color theme="1"/>
      <name val="Calibri Light"/>
      <family val="2"/>
    </font>
    <font>
      <sz val="8"/>
      <color theme="1"/>
      <name val="Calibri Light"/>
      <family val="2"/>
    </font>
    <font>
      <b/>
      <sz val="8"/>
      <color rgb="FFFF0000"/>
      <name val="Calibri Light"/>
      <family val="2"/>
    </font>
    <font>
      <sz val="8"/>
      <color rgb="FFFF0000"/>
      <name val="Calibri Light"/>
      <family val="2"/>
    </font>
    <font>
      <sz val="8"/>
      <color theme="3" tint="-0.249977111117893"/>
      <name val="Calibri Light"/>
      <family val="2"/>
    </font>
    <font>
      <sz val="8"/>
      <color theme="1" tint="0.499984740745262"/>
      <name val="Calibri Light"/>
      <family val="2"/>
    </font>
    <font>
      <b/>
      <sz val="8"/>
      <color theme="1" tint="0.499984740745262"/>
      <name val="Calibri Light"/>
      <family val="2"/>
    </font>
    <font>
      <sz val="11"/>
      <color theme="0" tint="-0.499984740745262"/>
      <name val="Calibri Light"/>
      <family val="2"/>
    </font>
    <font>
      <sz val="14"/>
      <color theme="3"/>
      <name val="Calibri Light"/>
      <family val="2"/>
    </font>
    <font>
      <b/>
      <sz val="12"/>
      <name val="Calibri Light"/>
      <family val="2"/>
    </font>
    <font>
      <sz val="11"/>
      <name val="Calibri Light"/>
      <family val="2"/>
    </font>
    <font>
      <sz val="10"/>
      <color rgb="FFFF0000"/>
      <name val="Calibri Light"/>
      <family val="2"/>
    </font>
    <font>
      <sz val="11"/>
      <color rgb="FFFF0000"/>
      <name val="Calibri Light"/>
      <family val="2"/>
    </font>
    <font>
      <sz val="12"/>
      <color theme="0" tint="-0.499984740745262"/>
      <name val="Calibri Light"/>
      <family val="2"/>
    </font>
    <font>
      <sz val="11"/>
      <color theme="0" tint="-0.34998626667073579"/>
      <name val="Calibri Light"/>
      <family val="2"/>
    </font>
    <font>
      <b/>
      <sz val="10"/>
      <color theme="4" tint="-0.249977111117893"/>
      <name val="Calibri Light"/>
      <family val="2"/>
    </font>
    <font>
      <b/>
      <sz val="10"/>
      <color theme="3" tint="0.39997558519241921"/>
      <name val="Calibri Light"/>
      <family val="2"/>
    </font>
    <font>
      <sz val="10"/>
      <color rgb="FFC00000"/>
      <name val="Calibri Light"/>
      <family val="2"/>
    </font>
    <font>
      <b/>
      <sz val="9"/>
      <color theme="1"/>
      <name val="Calibri Light"/>
      <family val="2"/>
    </font>
    <font>
      <b/>
      <sz val="10"/>
      <color theme="1"/>
      <name val="Calibri Light"/>
      <family val="2"/>
    </font>
    <font>
      <i/>
      <sz val="9"/>
      <name val="Calibri Light"/>
      <family val="2"/>
    </font>
    <font>
      <sz val="12"/>
      <name val="Calibri Light"/>
      <family val="2"/>
    </font>
    <font>
      <u/>
      <sz val="9"/>
      <color theme="10"/>
      <name val="Calibri Light"/>
      <family val="2"/>
    </font>
    <font>
      <sz val="10"/>
      <name val="Calibri Light"/>
      <family val="2"/>
    </font>
    <font>
      <sz val="9"/>
      <name val="Calibri Light"/>
      <family val="2"/>
    </font>
    <font>
      <b/>
      <sz val="10"/>
      <name val="Calibri Light"/>
      <family val="2"/>
    </font>
    <font>
      <b/>
      <sz val="24"/>
      <color theme="0"/>
      <name val="Calibri Light"/>
      <family val="2"/>
    </font>
    <font>
      <b/>
      <sz val="24"/>
      <color rgb="FFC00000"/>
      <name val="Calibri Light"/>
      <family val="2"/>
    </font>
    <font>
      <b/>
      <sz val="9"/>
      <color rgb="FFC00000"/>
      <name val="Calibri Light"/>
      <family val="2"/>
    </font>
    <font>
      <sz val="11"/>
      <color theme="0"/>
      <name val="Calibri Light"/>
      <family val="2"/>
    </font>
    <font>
      <sz val="7"/>
      <color theme="1"/>
      <name val="Calibri Light"/>
      <family val="2"/>
    </font>
    <font>
      <sz val="7"/>
      <name val="Calibri Light"/>
      <family val="2"/>
    </font>
    <font>
      <sz val="8"/>
      <name val="Calibri Light"/>
      <family val="2"/>
    </font>
    <font>
      <b/>
      <sz val="7"/>
      <color theme="0"/>
      <name val="Calibri Light"/>
      <family val="2"/>
    </font>
    <font>
      <b/>
      <sz val="8"/>
      <color theme="0"/>
      <name val="Calibri Light"/>
      <family val="2"/>
    </font>
    <font>
      <sz val="9"/>
      <color theme="0"/>
      <name val="Calibri Light"/>
      <family val="2"/>
    </font>
    <font>
      <b/>
      <sz val="9"/>
      <color theme="0"/>
      <name val="Calibri Light"/>
      <family val="2"/>
    </font>
    <font>
      <b/>
      <sz val="11"/>
      <color rgb="FFFF0000"/>
      <name val="Calibri Light"/>
      <family val="2"/>
    </font>
    <font>
      <sz val="12"/>
      <color rgb="FFFF0000"/>
      <name val="Calibri Light"/>
      <family val="2"/>
    </font>
    <font>
      <sz val="12"/>
      <color theme="0"/>
      <name val="Calibri Light"/>
      <family val="2"/>
    </font>
    <font>
      <sz val="7"/>
      <color theme="0"/>
      <name val="Calibri Light"/>
      <family val="2"/>
    </font>
    <font>
      <b/>
      <sz val="8"/>
      <color theme="0" tint="-0.499984740745262"/>
      <name val="Calibri Light"/>
      <family val="2"/>
    </font>
    <font>
      <sz val="10"/>
      <color theme="1" tint="0.34998626667073579"/>
      <name val="Calibri Light"/>
      <family val="2"/>
    </font>
    <font>
      <sz val="6"/>
      <name val="Calibri Light"/>
      <family val="2"/>
    </font>
    <font>
      <b/>
      <sz val="11"/>
      <color theme="0"/>
      <name val="Calibri Light"/>
      <family val="2"/>
    </font>
    <font>
      <sz val="10"/>
      <color theme="0"/>
      <name val="Calibri Light"/>
      <family val="2"/>
    </font>
    <font>
      <sz val="24"/>
      <color rgb="FF006600"/>
      <name val="Calibri Light"/>
      <family val="2"/>
    </font>
    <font>
      <sz val="12"/>
      <color theme="1"/>
      <name val="Calibri Light"/>
      <family val="2"/>
    </font>
    <font>
      <sz val="22"/>
      <color theme="4" tint="-0.249977111117893"/>
      <name val="Calibri Light"/>
      <family val="2"/>
    </font>
    <font>
      <b/>
      <sz val="22"/>
      <color rgb="FF2F5597"/>
      <name val="Calibri Light"/>
      <family val="2"/>
    </font>
    <font>
      <sz val="11"/>
      <color theme="5"/>
      <name val="Calibri Light"/>
      <family val="2"/>
    </font>
    <font>
      <u/>
      <sz val="8"/>
      <color theme="5"/>
      <name val="Calibri Light"/>
      <family val="2"/>
    </font>
    <font>
      <sz val="8"/>
      <color theme="5"/>
      <name val="Calibri Light"/>
      <family val="2"/>
    </font>
    <font>
      <b/>
      <sz val="20"/>
      <color theme="4" tint="-0.249977111117893"/>
      <name val="Calibri Light"/>
      <family val="2"/>
    </font>
    <font>
      <b/>
      <sz val="9"/>
      <color theme="5"/>
      <name val="Calibri Light"/>
      <family val="2"/>
    </font>
    <font>
      <sz val="10"/>
      <color theme="5"/>
      <name val="Calibri Light"/>
      <family val="2"/>
    </font>
    <font>
      <b/>
      <sz val="12"/>
      <color indexed="9"/>
      <name val="Calibri Light"/>
      <family val="2"/>
    </font>
    <font>
      <sz val="12"/>
      <color theme="5"/>
      <name val="Calibri Light"/>
      <family val="2"/>
    </font>
    <font>
      <i/>
      <sz val="8"/>
      <color theme="5"/>
      <name val="Calibri Light"/>
      <family val="2"/>
    </font>
    <font>
      <sz val="6"/>
      <color indexed="9"/>
      <name val="Calibri Light"/>
      <family val="2"/>
    </font>
    <font>
      <u/>
      <sz val="8"/>
      <color indexed="12"/>
      <name val="Calibri Light"/>
      <family val="2"/>
    </font>
    <font>
      <sz val="18"/>
      <color theme="0" tint="-0.499984740745262"/>
      <name val="Calibri Light"/>
      <family val="2"/>
    </font>
    <font>
      <u/>
      <sz val="10"/>
      <color theme="3"/>
      <name val="Calibri Light"/>
      <family val="2"/>
    </font>
    <font>
      <b/>
      <sz val="14"/>
      <color theme="0"/>
      <name val="Calibri Light"/>
      <family val="2"/>
    </font>
    <font>
      <b/>
      <sz val="12"/>
      <color theme="1"/>
      <name val="Calibri Light"/>
      <family val="2"/>
    </font>
    <font>
      <sz val="18"/>
      <color theme="0"/>
      <name val="Calibri Light"/>
      <family val="2"/>
    </font>
    <font>
      <b/>
      <sz val="11"/>
      <color theme="3"/>
      <name val="Calibri Light"/>
      <family val="2"/>
    </font>
    <font>
      <sz val="24"/>
      <color theme="3" tint="0.39997558519241921"/>
      <name val="Calibri Light"/>
      <family val="2"/>
    </font>
    <font>
      <sz val="24"/>
      <color theme="9" tint="-0.249977111117893"/>
      <name val="Calibri Light"/>
      <family val="2"/>
    </font>
    <font>
      <sz val="11"/>
      <color theme="3" tint="0.39997558519241921"/>
      <name val="Calibri Light"/>
      <family val="2"/>
    </font>
    <font>
      <sz val="11"/>
      <color theme="9" tint="-0.249977111117893"/>
      <name val="Calibri Light"/>
      <family val="2"/>
    </font>
    <font>
      <b/>
      <sz val="12"/>
      <color theme="4" tint="0.39997558519241921"/>
      <name val="Calibri Light"/>
      <family val="2"/>
    </font>
    <font>
      <b/>
      <sz val="12"/>
      <color theme="9" tint="0.39997558519241921"/>
      <name val="Calibri Light"/>
      <family val="2"/>
    </font>
    <font>
      <sz val="24"/>
      <color theme="4" tint="0.39997558519241921"/>
      <name val="Calibri Light"/>
      <family val="2"/>
    </font>
    <font>
      <sz val="10"/>
      <color theme="3" tint="0.39997558519241921"/>
      <name val="Calibri Light"/>
      <family val="2"/>
    </font>
    <font>
      <sz val="10"/>
      <color theme="9" tint="-0.249977111117893"/>
      <name val="Calibri Light"/>
      <family val="2"/>
    </font>
    <font>
      <b/>
      <sz val="14"/>
      <color theme="3" tint="-0.249977111117893"/>
      <name val="Calibri Light"/>
      <family val="2"/>
    </font>
    <font>
      <sz val="16"/>
      <color theme="4" tint="0.39997558519241921"/>
      <name val="Calibri Light"/>
      <family val="2"/>
    </font>
    <font>
      <sz val="16"/>
      <color theme="9" tint="0.39997558519241921"/>
      <name val="Calibri Light"/>
      <family val="2"/>
    </font>
    <font>
      <sz val="11"/>
      <color theme="4" tint="-0.499984740745262"/>
      <name val="Calibri Light"/>
      <family val="2"/>
    </font>
    <font>
      <sz val="11"/>
      <color theme="9" tint="-0.499984740745262"/>
      <name val="Calibri Light"/>
      <family val="2"/>
    </font>
    <font>
      <b/>
      <sz val="12"/>
      <color theme="5" tint="0.39997558519241921"/>
      <name val="Calibri Light"/>
      <family val="2"/>
    </font>
    <font>
      <sz val="24"/>
      <color theme="5" tint="-0.249977111117893"/>
      <name val="Calibri Light"/>
      <family val="2"/>
    </font>
    <font>
      <sz val="10"/>
      <color theme="5" tint="-0.249977111117893"/>
      <name val="Calibri Light"/>
      <family val="2"/>
    </font>
    <font>
      <sz val="10"/>
      <color theme="7" tint="-0.249977111117893"/>
      <name val="Calibri Light"/>
      <family val="2"/>
    </font>
    <font>
      <b/>
      <sz val="12"/>
      <color theme="7" tint="0.39997558519241921"/>
      <name val="Calibri Light"/>
      <family val="2"/>
    </font>
    <font>
      <sz val="24"/>
      <color theme="7" tint="-0.249977111117893"/>
      <name val="Calibri Light"/>
      <family val="2"/>
    </font>
    <font>
      <sz val="11"/>
      <color theme="7" tint="-0.499984740745262"/>
      <name val="Calibri Light"/>
      <family val="2"/>
    </font>
    <font>
      <sz val="8"/>
      <color rgb="FF000000"/>
      <name val="Calibri Light"/>
      <family val="2"/>
    </font>
    <font>
      <sz val="8"/>
      <color theme="3"/>
      <name val="Calibri Light"/>
      <family val="2"/>
    </font>
    <font>
      <sz val="10"/>
      <color theme="6" tint="0.79998168889431442"/>
      <name val="Calibri Light"/>
      <family val="2"/>
    </font>
    <font>
      <b/>
      <sz val="20"/>
      <color theme="3"/>
      <name val="Calibri Light"/>
      <family val="2"/>
    </font>
    <font>
      <sz val="14"/>
      <color rgb="FF244061"/>
      <name val="Calibri Light"/>
      <family val="2"/>
    </font>
    <font>
      <sz val="11"/>
      <color rgb="FF000000"/>
      <name val="Calibri Light"/>
      <family val="2"/>
    </font>
    <font>
      <b/>
      <sz val="11"/>
      <color indexed="9"/>
      <name val="Calibri Light"/>
      <family val="2"/>
    </font>
    <font>
      <sz val="11"/>
      <color indexed="9"/>
      <name val="Calibri Light"/>
      <family val="2"/>
    </font>
    <font>
      <b/>
      <sz val="11"/>
      <name val="Calibri Light"/>
      <family val="2"/>
    </font>
    <font>
      <sz val="9"/>
      <color theme="1" tint="0.34998626667073579"/>
      <name val="Calibri Light"/>
      <family val="2"/>
    </font>
    <font>
      <sz val="24"/>
      <name val="Calibri Light"/>
      <family val="2"/>
    </font>
    <font>
      <sz val="14"/>
      <color theme="1" tint="0.499984740745262"/>
      <name val="Calibri Light"/>
      <family val="2"/>
    </font>
    <font>
      <i/>
      <sz val="11"/>
      <color theme="1"/>
      <name val="Calibri Light"/>
      <family val="2"/>
    </font>
    <font>
      <sz val="22"/>
      <color theme="3"/>
      <name val="Calibri Light"/>
      <family val="2"/>
    </font>
    <font>
      <b/>
      <sz val="14"/>
      <color theme="1"/>
      <name val="Calibri Light"/>
      <family val="2"/>
    </font>
    <font>
      <b/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0"/>
      <name val="Calibri Light"/>
      <family val="2"/>
    </font>
    <font>
      <b/>
      <sz val="8"/>
      <color theme="1"/>
      <name val="Calibri Light"/>
      <family val="2"/>
    </font>
    <font>
      <sz val="14"/>
      <color theme="0"/>
      <name val="Calibri Light"/>
      <family val="2"/>
    </font>
    <font>
      <sz val="24"/>
      <color theme="1"/>
      <name val="Calibri Light"/>
      <family val="2"/>
    </font>
    <font>
      <b/>
      <sz val="12"/>
      <color theme="3"/>
      <name val="Calibri Light"/>
      <family val="2"/>
    </font>
    <font>
      <sz val="10"/>
      <name val="Arial"/>
      <family val="2"/>
    </font>
    <font>
      <b/>
      <sz val="10"/>
      <color rgb="FFFF0000"/>
      <name val="Calibri"/>
      <family val="2"/>
      <scheme val="minor"/>
    </font>
    <font>
      <sz val="16"/>
      <color rgb="FF388288"/>
      <name val="Calibri Light"/>
      <family val="2"/>
    </font>
    <font>
      <sz val="11"/>
      <color theme="1" tint="4.9989318521683403E-2"/>
      <name val="Calibri"/>
      <family val="1"/>
      <scheme val="minor"/>
    </font>
    <font>
      <sz val="16"/>
      <color theme="0"/>
      <name val="Calibri"/>
      <family val="1"/>
      <scheme val="minor"/>
    </font>
    <font>
      <sz val="36"/>
      <color theme="0"/>
      <name val="Cambria"/>
      <family val="1"/>
      <scheme val="major"/>
    </font>
    <font>
      <u/>
      <sz val="11"/>
      <color theme="10"/>
      <name val="Calibri"/>
      <family val="1"/>
      <scheme val="minor"/>
    </font>
    <font>
      <sz val="11"/>
      <color theme="1" tint="4.9989318521683403E-2"/>
      <name val="Calibri Light"/>
      <family val="2"/>
    </font>
    <font>
      <sz val="26"/>
      <color theme="0"/>
      <name val="Calibri Light"/>
      <family val="2"/>
    </font>
    <font>
      <sz val="36"/>
      <color theme="0"/>
      <name val="Calibri Light"/>
      <family val="2"/>
    </font>
    <font>
      <u/>
      <sz val="11"/>
      <color theme="10"/>
      <name val="Calibri Light"/>
      <family val="2"/>
    </font>
  </fonts>
  <fills count="5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lightGray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lightGray">
        <fgColor indexed="26"/>
        <bgColor theme="0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A8C36B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EAA7"/>
        <bgColor indexed="64"/>
      </patternFill>
    </fill>
    <fill>
      <gradientFill>
        <stop position="0">
          <color theme="8" tint="-0.49803155613879818"/>
        </stop>
        <stop position="0.5">
          <color theme="8" tint="0.40000610370189521"/>
        </stop>
        <stop position="1">
          <color theme="8" tint="-0.49803155613879818"/>
        </stop>
      </gradientFill>
    </fill>
    <fill>
      <gradientFill>
        <stop position="0">
          <color theme="4" tint="-0.25098422193060094"/>
        </stop>
        <stop position="0.5">
          <color theme="4" tint="0.59999389629810485"/>
        </stop>
        <stop position="1">
          <color theme="4" tint="-0.25098422193060094"/>
        </stop>
      </gradientFill>
    </fill>
  </fills>
  <borders count="1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hair">
        <color rgb="FF002060"/>
      </top>
      <bottom style="hair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/>
      <top/>
      <bottom style="thin">
        <color rgb="FF006600"/>
      </bottom>
      <diagonal/>
    </border>
    <border>
      <left/>
      <right/>
      <top style="thin">
        <color theme="3"/>
      </top>
      <bottom/>
      <diagonal/>
    </border>
    <border>
      <left style="hair">
        <color theme="7" tint="-0.24994659260841701"/>
      </left>
      <right/>
      <top/>
      <bottom/>
      <diagonal/>
    </border>
    <border>
      <left/>
      <right/>
      <top/>
      <bottom style="hair">
        <color theme="7" tint="-0.24994659260841701"/>
      </bottom>
      <diagonal/>
    </border>
    <border>
      <left/>
      <right/>
      <top style="hair">
        <color theme="7" tint="-0.24994659260841701"/>
      </top>
      <bottom style="hair">
        <color theme="7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indexed="5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/>
      <top/>
      <bottom style="hair">
        <color indexed="23"/>
      </bottom>
      <diagonal/>
    </border>
    <border>
      <left/>
      <right style="thin">
        <color indexed="22"/>
      </right>
      <top/>
      <bottom/>
      <diagonal/>
    </border>
    <border>
      <left/>
      <right/>
      <top/>
      <bottom style="double">
        <color indexed="22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indexed="22"/>
      </right>
      <top style="thin">
        <color auto="1"/>
      </top>
      <bottom style="double">
        <color auto="1"/>
      </bottom>
      <diagonal/>
    </border>
    <border>
      <left/>
      <right/>
      <top style="hair">
        <color indexed="23"/>
      </top>
      <bottom/>
      <diagonal/>
    </border>
    <border>
      <left/>
      <right/>
      <top style="double">
        <color indexed="22"/>
      </top>
      <bottom style="thin">
        <color auto="1"/>
      </bottom>
      <diagonal/>
    </border>
    <border>
      <left/>
      <right/>
      <top style="thin">
        <color theme="7" tint="-0.24994659260841701"/>
      </top>
      <bottom/>
      <diagonal/>
    </border>
    <border>
      <left/>
      <right/>
      <top/>
      <bottom style="hair">
        <color rgb="FF002060"/>
      </bottom>
      <diagonal/>
    </border>
    <border>
      <left style="thin">
        <color theme="1" tint="0.499984740745262"/>
      </left>
      <right/>
      <top style="thin">
        <color indexed="23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/>
      <bottom style="thin">
        <color theme="6" tint="-0.499984740745262"/>
      </bottom>
      <diagonal/>
    </border>
    <border>
      <left/>
      <right/>
      <top/>
      <bottom style="thin">
        <color theme="7" tint="-0.499984740745262"/>
      </bottom>
      <diagonal/>
    </border>
    <border>
      <left/>
      <right/>
      <top/>
      <bottom style="thin">
        <color theme="1" tint="0.34998626667073579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theme="0"/>
      </right>
      <top/>
      <bottom/>
      <diagonal/>
    </border>
    <border>
      <left/>
      <right style="hair">
        <color theme="0" tint="-4.9989318521683403E-2"/>
      </right>
      <top/>
      <bottom/>
      <diagonal/>
    </border>
    <border>
      <left style="hair">
        <color theme="0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medium">
        <color theme="1" tint="0.499984740745262"/>
      </right>
      <top/>
      <bottom/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/>
      <right style="thin">
        <color theme="6" tint="0.39994506668294322"/>
      </right>
      <top style="thin">
        <color theme="6" tint="0.39994506668294322"/>
      </top>
      <bottom/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hair">
        <color theme="7" tint="-0.499984740745262"/>
      </bottom>
      <diagonal/>
    </border>
    <border>
      <left style="hair">
        <color theme="0" tint="-4.9989318521683403E-2"/>
      </left>
      <right/>
      <top/>
      <bottom/>
      <diagonal/>
    </border>
    <border>
      <left/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/>
      <top/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7" tint="0.39994506668294322"/>
      </right>
      <top/>
      <bottom/>
      <diagonal/>
    </border>
    <border>
      <left/>
      <right/>
      <top/>
      <bottom style="thin">
        <color theme="7" tint="0.59996337778862885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0"/>
      </bottom>
      <diagonal/>
    </border>
    <border>
      <left/>
      <right/>
      <top style="thick">
        <color theme="0"/>
      </top>
      <bottom/>
      <diagonal/>
    </border>
    <border>
      <left/>
      <right style="thin">
        <color theme="0"/>
      </right>
      <top style="thick">
        <color theme="0"/>
      </top>
      <bottom/>
      <diagonal/>
    </border>
    <border>
      <left/>
      <right style="thin">
        <color theme="0"/>
      </right>
      <top/>
      <bottom style="medium">
        <color theme="0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ck">
        <color theme="0"/>
      </right>
      <top/>
      <bottom style="thin">
        <color theme="0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24994659260841701"/>
      </left>
      <right/>
      <top/>
      <bottom style="thin">
        <color theme="0" tint="-0.34998626667073579"/>
      </bottom>
      <diagonal/>
    </border>
    <border>
      <left/>
      <right/>
      <top/>
      <bottom style="thin">
        <color rgb="FF666699"/>
      </bottom>
      <diagonal/>
    </border>
    <border>
      <left/>
      <right style="thick">
        <color theme="0"/>
      </right>
      <top style="thin">
        <color theme="0"/>
      </top>
      <bottom style="thin">
        <color theme="7" tint="0.59999389629810485"/>
      </bottom>
      <diagonal/>
    </border>
    <border>
      <left/>
      <right/>
      <top style="thin">
        <color theme="0"/>
      </top>
      <bottom style="thin">
        <color theme="7" tint="0.59999389629810485"/>
      </bottom>
      <diagonal/>
    </border>
  </borders>
  <cellStyleXfs count="36">
    <xf numFmtId="0" fontId="0" fillId="0" borderId="0"/>
    <xf numFmtId="0" fontId="22" fillId="0" borderId="0" applyNumberFormat="0" applyFill="0" applyBorder="0" applyProtection="0">
      <alignment vertical="center"/>
      <protection locked="0"/>
    </xf>
    <xf numFmtId="0" fontId="4" fillId="0" borderId="0"/>
    <xf numFmtId="0" fontId="8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2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169" fontId="16" fillId="0" borderId="0" applyFont="0" applyFill="0" applyBorder="0" applyAlignment="0" applyProtection="0"/>
    <xf numFmtId="17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35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57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60" fillId="0" borderId="0">
      <alignment horizontal="left" vertical="center" wrapText="1" indent="1"/>
    </xf>
    <xf numFmtId="0" fontId="161" fillId="46" borderId="0">
      <alignment horizontal="left" vertical="center" indent="2"/>
    </xf>
    <xf numFmtId="0" fontId="162" fillId="51" borderId="0" applyNumberFormat="0" applyBorder="0" applyProtection="0">
      <alignment horizontal="left" vertical="center" indent="2"/>
    </xf>
    <xf numFmtId="14" fontId="160" fillId="0" borderId="0">
      <alignment horizontal="left" vertical="center" indent="1"/>
    </xf>
    <xf numFmtId="9" fontId="160" fillId="0" borderId="0" applyFont="0" applyFill="0" applyBorder="0" applyProtection="0">
      <alignment horizontal="right" vertical="center" indent="1"/>
    </xf>
    <xf numFmtId="0" fontId="163" fillId="0" borderId="0" applyNumberFormat="0" applyFill="0" applyBorder="0" applyAlignment="0" applyProtection="0">
      <alignment horizontal="left" vertical="center" wrapText="1" indent="1"/>
    </xf>
  </cellStyleXfs>
  <cellXfs count="1128">
    <xf numFmtId="0" fontId="0" fillId="0" borderId="0" xfId="0"/>
    <xf numFmtId="0" fontId="26" fillId="0" borderId="0" xfId="0" applyFont="1" applyProtection="1">
      <protection locked="0" hidden="1"/>
    </xf>
    <xf numFmtId="0" fontId="28" fillId="0" borderId="0" xfId="0" applyFont="1" applyAlignment="1" applyProtection="1">
      <alignment vertical="center"/>
      <protection locked="0"/>
    </xf>
    <xf numFmtId="0" fontId="32" fillId="0" borderId="0" xfId="0" applyFont="1" applyAlignment="1" applyProtection="1">
      <alignment horizontal="right"/>
      <protection locked="0" hidden="1"/>
    </xf>
    <xf numFmtId="0" fontId="67" fillId="7" borderId="12" xfId="2" applyFont="1" applyFill="1" applyBorder="1" applyAlignment="1" applyProtection="1">
      <alignment horizontal="right" vertical="center" wrapText="1"/>
      <protection locked="0" hidden="1"/>
    </xf>
    <xf numFmtId="0" fontId="68" fillId="0" borderId="0" xfId="2" applyFont="1" applyAlignment="1" applyProtection="1">
      <alignment horizontal="center"/>
      <protection locked="0"/>
    </xf>
    <xf numFmtId="0" fontId="76" fillId="0" borderId="0" xfId="2" applyFont="1" applyProtection="1">
      <protection locked="0"/>
    </xf>
    <xf numFmtId="9" fontId="26" fillId="5" borderId="0" xfId="0" quotePrefix="1" applyNumberFormat="1" applyFont="1" applyFill="1" applyAlignment="1" applyProtection="1">
      <alignment horizontal="left" vertical="center" wrapText="1"/>
      <protection locked="0"/>
    </xf>
    <xf numFmtId="14" fontId="26" fillId="0" borderId="0" xfId="0" applyNumberFormat="1" applyFont="1" applyAlignment="1" applyProtection="1">
      <alignment horizontal="left" vertical="top" wrapText="1"/>
      <protection locked="0"/>
    </xf>
    <xf numFmtId="0" fontId="26" fillId="0" borderId="0" xfId="0" applyFont="1" applyAlignment="1" applyProtection="1">
      <alignment vertical="top" wrapText="1"/>
      <protection locked="0"/>
    </xf>
    <xf numFmtId="0" fontId="26" fillId="0" borderId="0" xfId="0" applyFont="1" applyAlignment="1" applyProtection="1">
      <alignment horizontal="left" vertical="top" wrapText="1"/>
      <protection locked="0"/>
    </xf>
    <xf numFmtId="0" fontId="42" fillId="0" borderId="0" xfId="0" applyFont="1" applyAlignment="1" applyProtection="1">
      <alignment horizontal="left" vertical="center"/>
      <protection locked="0"/>
    </xf>
    <xf numFmtId="0" fontId="32" fillId="11" borderId="0" xfId="0" applyFont="1" applyFill="1" applyProtection="1">
      <protection locked="0"/>
    </xf>
    <xf numFmtId="0" fontId="29" fillId="0" borderId="0" xfId="0" applyFont="1" applyAlignment="1" applyProtection="1">
      <alignment vertical="center"/>
      <protection locked="0" hidden="1"/>
    </xf>
    <xf numFmtId="0" fontId="32" fillId="23" borderId="36" xfId="0" applyFont="1" applyFill="1" applyBorder="1" applyAlignment="1" applyProtection="1">
      <alignment horizontal="left" vertical="top" wrapText="1"/>
      <protection locked="0"/>
    </xf>
    <xf numFmtId="0" fontId="91" fillId="25" borderId="37" xfId="0" applyFont="1" applyFill="1" applyBorder="1" applyAlignment="1" applyProtection="1">
      <alignment horizontal="center" vertical="center" wrapText="1"/>
      <protection locked="0"/>
    </xf>
    <xf numFmtId="0" fontId="32" fillId="29" borderId="36" xfId="0" applyFont="1" applyFill="1" applyBorder="1" applyAlignment="1" applyProtection="1">
      <alignment horizontal="left" vertical="top" wrapText="1"/>
      <protection locked="0"/>
    </xf>
    <xf numFmtId="0" fontId="32" fillId="9" borderId="38" xfId="0" applyFont="1" applyFill="1" applyBorder="1" applyAlignment="1" applyProtection="1">
      <alignment horizontal="center" vertical="top"/>
      <protection locked="0"/>
    </xf>
    <xf numFmtId="0" fontId="32" fillId="9" borderId="39" xfId="0" applyFont="1" applyFill="1" applyBorder="1" applyAlignment="1" applyProtection="1">
      <alignment horizontal="left" vertical="top" wrapText="1"/>
      <protection locked="0"/>
    </xf>
    <xf numFmtId="0" fontId="32" fillId="3" borderId="35" xfId="0" applyFont="1" applyFill="1" applyBorder="1" applyAlignment="1" applyProtection="1">
      <alignment horizontal="center" vertical="top"/>
      <protection locked="0"/>
    </xf>
    <xf numFmtId="0" fontId="32" fillId="3" borderId="36" xfId="0" applyFont="1" applyFill="1" applyBorder="1" applyAlignment="1" applyProtection="1">
      <alignment horizontal="left" vertical="top" wrapText="1"/>
      <protection locked="0"/>
    </xf>
    <xf numFmtId="0" fontId="32" fillId="8" borderId="35" xfId="0" applyFont="1" applyFill="1" applyBorder="1" applyAlignment="1" applyProtection="1">
      <alignment horizontal="center" vertical="top"/>
      <protection locked="0"/>
    </xf>
    <xf numFmtId="0" fontId="32" fillId="8" borderId="36" xfId="0" applyFont="1" applyFill="1" applyBorder="1" applyAlignment="1" applyProtection="1">
      <alignment horizontal="left" vertical="top" wrapText="1"/>
      <protection locked="0"/>
    </xf>
    <xf numFmtId="0" fontId="32" fillId="13" borderId="35" xfId="0" applyFont="1" applyFill="1" applyBorder="1" applyAlignment="1" applyProtection="1">
      <alignment horizontal="center" vertical="top"/>
      <protection locked="0"/>
    </xf>
    <xf numFmtId="0" fontId="32" fillId="13" borderId="36" xfId="0" applyFont="1" applyFill="1" applyBorder="1" applyAlignment="1" applyProtection="1">
      <alignment horizontal="left" vertical="top" wrapText="1"/>
      <protection locked="0"/>
    </xf>
    <xf numFmtId="0" fontId="32" fillId="7" borderId="35" xfId="0" applyFont="1" applyFill="1" applyBorder="1" applyAlignment="1" applyProtection="1">
      <alignment horizontal="center" vertical="top"/>
      <protection locked="0"/>
    </xf>
    <xf numFmtId="0" fontId="32" fillId="7" borderId="36" xfId="0" applyFont="1" applyFill="1" applyBorder="1" applyAlignment="1" applyProtection="1">
      <alignment horizontal="left" vertical="top" wrapText="1"/>
      <protection locked="0"/>
    </xf>
    <xf numFmtId="0" fontId="32" fillId="24" borderId="36" xfId="0" applyFont="1" applyFill="1" applyBorder="1" applyAlignment="1" applyProtection="1">
      <alignment horizontal="left" vertical="top" wrapText="1"/>
      <protection locked="0"/>
    </xf>
    <xf numFmtId="1" fontId="105" fillId="0" borderId="36" xfId="0" applyNumberFormat="1" applyFont="1" applyBorder="1" applyAlignment="1" applyProtection="1">
      <alignment horizontal="center" vertical="center" wrapText="1"/>
      <protection locked="0"/>
    </xf>
    <xf numFmtId="0" fontId="32" fillId="25" borderId="36" xfId="0" applyFont="1" applyFill="1" applyBorder="1" applyAlignment="1" applyProtection="1">
      <alignment horizontal="left" vertical="top" wrapText="1"/>
      <protection locked="0"/>
    </xf>
    <xf numFmtId="1" fontId="31" fillId="25" borderId="36" xfId="0" applyNumberFormat="1" applyFont="1" applyFill="1" applyBorder="1" applyAlignment="1" applyProtection="1">
      <alignment horizontal="center" vertical="center" wrapText="1"/>
      <protection locked="0"/>
    </xf>
    <xf numFmtId="0" fontId="32" fillId="26" borderId="36" xfId="0" applyFont="1" applyFill="1" applyBorder="1" applyAlignment="1" applyProtection="1">
      <alignment horizontal="left" vertical="top" wrapText="1"/>
      <protection locked="0"/>
    </xf>
    <xf numFmtId="1" fontId="31" fillId="26" borderId="36" xfId="0" applyNumberFormat="1" applyFont="1" applyFill="1" applyBorder="1" applyAlignment="1" applyProtection="1">
      <alignment horizontal="center" vertical="center" wrapText="1"/>
      <protection locked="0"/>
    </xf>
    <xf numFmtId="0" fontId="91" fillId="26" borderId="37" xfId="0" applyFont="1" applyFill="1" applyBorder="1" applyAlignment="1" applyProtection="1">
      <alignment horizontal="center" vertical="center" wrapText="1"/>
      <protection locked="0"/>
    </xf>
    <xf numFmtId="0" fontId="32" fillId="4" borderId="36" xfId="0" applyFont="1" applyFill="1" applyBorder="1" applyAlignment="1" applyProtection="1">
      <alignment horizontal="left" vertical="top" wrapText="1"/>
      <protection locked="0"/>
    </xf>
    <xf numFmtId="0" fontId="32" fillId="27" borderId="36" xfId="0" applyFont="1" applyFill="1" applyBorder="1" applyAlignment="1" applyProtection="1">
      <alignment horizontal="left" vertical="top" wrapText="1"/>
      <protection locked="0"/>
    </xf>
    <xf numFmtId="1" fontId="31" fillId="27" borderId="36" xfId="0" applyNumberFormat="1" applyFont="1" applyFill="1" applyBorder="1" applyAlignment="1" applyProtection="1">
      <alignment horizontal="center" vertical="center" wrapText="1"/>
      <protection locked="0"/>
    </xf>
    <xf numFmtId="0" fontId="91" fillId="27" borderId="37" xfId="0" applyFont="1" applyFill="1" applyBorder="1" applyAlignment="1" applyProtection="1">
      <alignment horizontal="center" vertical="center" wrapText="1"/>
      <protection locked="0"/>
    </xf>
    <xf numFmtId="0" fontId="32" fillId="28" borderId="36" xfId="0" applyFont="1" applyFill="1" applyBorder="1" applyAlignment="1" applyProtection="1">
      <alignment horizontal="left" vertical="top" wrapText="1"/>
      <protection locked="0"/>
    </xf>
    <xf numFmtId="1" fontId="31" fillId="29" borderId="36" xfId="0" applyNumberFormat="1" applyFont="1" applyFill="1" applyBorder="1" applyAlignment="1" applyProtection="1">
      <alignment horizontal="center" vertical="center" wrapText="1"/>
      <protection locked="0"/>
    </xf>
    <xf numFmtId="0" fontId="91" fillId="29" borderId="37" xfId="0" applyFont="1" applyFill="1" applyBorder="1" applyAlignment="1" applyProtection="1">
      <alignment horizontal="center" vertical="center" wrapText="1"/>
      <protection locked="0"/>
    </xf>
    <xf numFmtId="1" fontId="31" fillId="8" borderId="36" xfId="0" applyNumberFormat="1" applyFont="1" applyFill="1" applyBorder="1" applyAlignment="1" applyProtection="1">
      <alignment horizontal="center" vertical="center" wrapText="1"/>
      <protection locked="0"/>
    </xf>
    <xf numFmtId="0" fontId="91" fillId="8" borderId="37" xfId="0" applyFont="1" applyFill="1" applyBorder="1" applyAlignment="1" applyProtection="1">
      <alignment horizontal="center" vertical="center" wrapText="1"/>
      <protection locked="0"/>
    </xf>
    <xf numFmtId="0" fontId="32" fillId="30" borderId="36" xfId="0" applyFont="1" applyFill="1" applyBorder="1" applyAlignment="1" applyProtection="1">
      <alignment horizontal="left" vertical="top" wrapText="1"/>
      <protection locked="0"/>
    </xf>
    <xf numFmtId="1" fontId="31" fillId="7" borderId="36" xfId="0" applyNumberFormat="1" applyFont="1" applyFill="1" applyBorder="1" applyAlignment="1" applyProtection="1">
      <alignment horizontal="center" vertical="center" wrapText="1"/>
      <protection locked="0"/>
    </xf>
    <xf numFmtId="0" fontId="91" fillId="7" borderId="37" xfId="0" applyFont="1" applyFill="1" applyBorder="1" applyAlignment="1" applyProtection="1">
      <alignment horizontal="center" vertical="center" wrapText="1"/>
      <protection locked="0"/>
    </xf>
    <xf numFmtId="1" fontId="31" fillId="13" borderId="36" xfId="0" applyNumberFormat="1" applyFont="1" applyFill="1" applyBorder="1" applyAlignment="1" applyProtection="1">
      <alignment horizontal="center" vertical="center" wrapText="1"/>
      <protection locked="0"/>
    </xf>
    <xf numFmtId="0" fontId="91" fillId="13" borderId="37" xfId="0" applyFont="1" applyFill="1" applyBorder="1" applyAlignment="1" applyProtection="1">
      <alignment horizontal="center" vertical="center" wrapText="1"/>
      <protection locked="0"/>
    </xf>
    <xf numFmtId="0" fontId="54" fillId="29" borderId="36" xfId="0" applyFont="1" applyFill="1" applyBorder="1" applyAlignment="1" applyProtection="1">
      <alignment horizontal="left" vertical="top" wrapText="1"/>
      <protection locked="0"/>
    </xf>
    <xf numFmtId="0" fontId="54" fillId="19" borderId="36" xfId="0" applyFont="1" applyFill="1" applyBorder="1" applyAlignment="1" applyProtection="1">
      <alignment horizontal="left" vertical="top" wrapText="1"/>
      <protection locked="0"/>
    </xf>
    <xf numFmtId="1" fontId="31" fillId="19" borderId="36" xfId="0" applyNumberFormat="1" applyFont="1" applyFill="1" applyBorder="1" applyAlignment="1" applyProtection="1">
      <alignment horizontal="center" vertical="center" wrapText="1"/>
      <protection locked="0"/>
    </xf>
    <xf numFmtId="0" fontId="32" fillId="19" borderId="36" xfId="0" applyFont="1" applyFill="1" applyBorder="1" applyAlignment="1" applyProtection="1">
      <alignment horizontal="left" vertical="top" wrapText="1"/>
      <protection locked="0"/>
    </xf>
    <xf numFmtId="0" fontId="91" fillId="19" borderId="37" xfId="0" applyFont="1" applyFill="1" applyBorder="1" applyAlignment="1" applyProtection="1">
      <alignment horizontal="center" vertical="center" wrapText="1"/>
      <protection locked="0"/>
    </xf>
    <xf numFmtId="0" fontId="32" fillId="31" borderId="36" xfId="0" applyFont="1" applyFill="1" applyBorder="1" applyAlignment="1" applyProtection="1">
      <alignment horizontal="left" vertical="top" wrapText="1"/>
      <protection locked="0"/>
    </xf>
    <xf numFmtId="1" fontId="31" fillId="31" borderId="36" xfId="0" applyNumberFormat="1" applyFont="1" applyFill="1" applyBorder="1" applyAlignment="1" applyProtection="1">
      <alignment horizontal="center" vertical="center" wrapText="1"/>
      <protection locked="0"/>
    </xf>
    <xf numFmtId="0" fontId="91" fillId="31" borderId="37" xfId="0" applyFont="1" applyFill="1" applyBorder="1" applyAlignment="1" applyProtection="1">
      <alignment horizontal="center" vertical="center" wrapText="1"/>
      <protection locked="0"/>
    </xf>
    <xf numFmtId="0" fontId="32" fillId="32" borderId="36" xfId="0" applyFont="1" applyFill="1" applyBorder="1" applyAlignment="1" applyProtection="1">
      <alignment horizontal="left" vertical="top" wrapText="1"/>
      <protection locked="0"/>
    </xf>
    <xf numFmtId="0" fontId="32" fillId="33" borderId="36" xfId="0" applyFont="1" applyFill="1" applyBorder="1" applyAlignment="1" applyProtection="1">
      <alignment horizontal="left" vertical="top" wrapText="1"/>
      <protection locked="0"/>
    </xf>
    <xf numFmtId="1" fontId="105" fillId="0" borderId="39" xfId="0" applyNumberFormat="1" applyFont="1" applyBorder="1" applyAlignment="1" applyProtection="1">
      <alignment horizontal="center" vertical="center" wrapText="1"/>
      <protection locked="0"/>
    </xf>
    <xf numFmtId="0" fontId="32" fillId="31" borderId="39" xfId="0" applyFont="1" applyFill="1" applyBorder="1" applyAlignment="1" applyProtection="1">
      <alignment horizontal="left" vertical="top" wrapText="1"/>
      <protection locked="0"/>
    </xf>
    <xf numFmtId="1" fontId="31" fillId="31" borderId="39" xfId="0" applyNumberFormat="1" applyFont="1" applyFill="1" applyBorder="1" applyAlignment="1" applyProtection="1">
      <alignment horizontal="center" vertical="center" wrapText="1"/>
      <protection locked="0"/>
    </xf>
    <xf numFmtId="0" fontId="91" fillId="31" borderId="40" xfId="0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Protection="1">
      <protection locked="0" hidden="1"/>
    </xf>
    <xf numFmtId="0" fontId="32" fillId="0" borderId="33" xfId="17" applyFont="1" applyFill="1" applyBorder="1" applyAlignment="1" applyProtection="1">
      <alignment horizontal="left" vertical="top" wrapText="1"/>
      <protection locked="0"/>
    </xf>
    <xf numFmtId="1" fontId="123" fillId="0" borderId="34" xfId="17" applyNumberFormat="1" applyFont="1" applyFill="1" applyBorder="1" applyAlignment="1" applyProtection="1">
      <alignment horizontal="center" vertical="center" wrapText="1"/>
      <protection locked="0"/>
    </xf>
    <xf numFmtId="1" fontId="124" fillId="0" borderId="34" xfId="17" applyNumberFormat="1" applyFont="1" applyFill="1" applyBorder="1" applyAlignment="1" applyProtection="1">
      <alignment horizontal="center" vertical="center" wrapText="1"/>
      <protection locked="0"/>
    </xf>
    <xf numFmtId="0" fontId="32" fillId="0" borderId="36" xfId="17" applyFont="1" applyFill="1" applyBorder="1" applyAlignment="1" applyProtection="1">
      <alignment horizontal="left" vertical="top" wrapText="1"/>
      <protection locked="0"/>
    </xf>
    <xf numFmtId="1" fontId="123" fillId="0" borderId="37" xfId="17" applyNumberFormat="1" applyFont="1" applyFill="1" applyBorder="1" applyAlignment="1" applyProtection="1">
      <alignment horizontal="center" vertical="center" wrapText="1"/>
      <protection locked="0"/>
    </xf>
    <xf numFmtId="1" fontId="124" fillId="0" borderId="37" xfId="17" applyNumberFormat="1" applyFont="1" applyFill="1" applyBorder="1" applyAlignment="1" applyProtection="1">
      <alignment horizontal="center" vertical="center" wrapText="1"/>
      <protection locked="0"/>
    </xf>
    <xf numFmtId="1" fontId="131" fillId="0" borderId="37" xfId="17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Protection="1">
      <protection locked="0"/>
    </xf>
    <xf numFmtId="49" fontId="133" fillId="5" borderId="0" xfId="0" applyNumberFormat="1" applyFont="1" applyFill="1" applyAlignment="1" applyProtection="1">
      <alignment horizontal="center" vertical="top"/>
      <protection locked="0"/>
    </xf>
    <xf numFmtId="0" fontId="26" fillId="0" borderId="36" xfId="0" quotePrefix="1" applyFont="1" applyBorder="1" applyAlignment="1" applyProtection="1">
      <alignment horizontal="center" vertical="top" wrapText="1"/>
      <protection locked="0"/>
    </xf>
    <xf numFmtId="0" fontId="32" fillId="0" borderId="0" xfId="0" applyFont="1" applyProtection="1">
      <protection locked="0"/>
    </xf>
    <xf numFmtId="0" fontId="26" fillId="0" borderId="71" xfId="0" applyFont="1" applyBorder="1" applyAlignment="1" applyProtection="1">
      <alignment horizontal="left" vertical="top"/>
      <protection locked="0"/>
    </xf>
    <xf numFmtId="0" fontId="26" fillId="0" borderId="0" xfId="0" applyFont="1" applyAlignment="1" applyProtection="1">
      <alignment horizontal="left" vertical="top"/>
      <protection locked="0"/>
    </xf>
    <xf numFmtId="0" fontId="26" fillId="0" borderId="0" xfId="0" applyFont="1" applyAlignment="1" applyProtection="1">
      <alignment horizontal="center" vertical="top"/>
      <protection locked="0"/>
    </xf>
    <xf numFmtId="14" fontId="26" fillId="0" borderId="0" xfId="0" applyNumberFormat="1" applyFont="1" applyAlignment="1" applyProtection="1">
      <alignment horizontal="left" vertical="top"/>
      <protection locked="0"/>
    </xf>
    <xf numFmtId="0" fontId="34" fillId="0" borderId="0" xfId="0" applyFont="1" applyAlignment="1" applyProtection="1">
      <alignment vertical="top"/>
      <protection locked="0" hidden="1"/>
    </xf>
    <xf numFmtId="0" fontId="32" fillId="3" borderId="35" xfId="0" applyFont="1" applyFill="1" applyBorder="1" applyAlignment="1" applyProtection="1">
      <alignment horizontal="left" vertical="top" wrapText="1"/>
      <protection locked="0"/>
    </xf>
    <xf numFmtId="0" fontId="54" fillId="18" borderId="36" xfId="0" applyFont="1" applyFill="1" applyBorder="1" applyAlignment="1" applyProtection="1">
      <alignment horizontal="center" vertical="top" wrapText="1"/>
      <protection locked="0"/>
    </xf>
    <xf numFmtId="14" fontId="54" fillId="3" borderId="36" xfId="1" applyNumberFormat="1" applyFont="1" applyFill="1" applyBorder="1" applyAlignment="1" applyProtection="1">
      <alignment horizontal="left" vertical="top" wrapText="1"/>
      <protection locked="0"/>
    </xf>
    <xf numFmtId="0" fontId="26" fillId="5" borderId="36" xfId="0" quotePrefix="1" applyFont="1" applyFill="1" applyBorder="1" applyAlignment="1" applyProtection="1">
      <alignment horizontal="center" vertical="top" wrapText="1"/>
      <protection locked="0"/>
    </xf>
    <xf numFmtId="0" fontId="32" fillId="3" borderId="37" xfId="0" applyFont="1" applyFill="1" applyBorder="1" applyAlignment="1" applyProtection="1">
      <alignment horizontal="left" vertical="top" wrapText="1"/>
      <protection locked="0"/>
    </xf>
    <xf numFmtId="0" fontId="54" fillId="6" borderId="36" xfId="0" applyFont="1" applyFill="1" applyBorder="1" applyAlignment="1" applyProtection="1">
      <alignment horizontal="center" vertical="top" wrapText="1"/>
      <protection locked="0"/>
    </xf>
    <xf numFmtId="14" fontId="32" fillId="43" borderId="72" xfId="0" applyNumberFormat="1" applyFont="1" applyFill="1" applyBorder="1" applyAlignment="1" applyProtection="1">
      <alignment horizontal="left" vertical="center" wrapText="1"/>
      <protection locked="0"/>
    </xf>
    <xf numFmtId="0" fontId="54" fillId="43" borderId="36" xfId="0" applyFont="1" applyFill="1" applyBorder="1" applyAlignment="1" applyProtection="1">
      <alignment horizontal="left" vertical="center" wrapText="1"/>
      <protection locked="0"/>
    </xf>
    <xf numFmtId="14" fontId="54" fillId="43" borderId="36" xfId="1" applyNumberFormat="1" applyFont="1" applyFill="1" applyBorder="1" applyAlignment="1" applyProtection="1">
      <alignment horizontal="left" vertical="center" wrapText="1"/>
      <protection locked="0"/>
    </xf>
    <xf numFmtId="14" fontId="32" fillId="43" borderId="37" xfId="0" applyNumberFormat="1" applyFont="1" applyFill="1" applyBorder="1" applyAlignment="1" applyProtection="1">
      <alignment horizontal="center" vertical="center" wrapText="1"/>
      <protection locked="0"/>
    </xf>
    <xf numFmtId="14" fontId="32" fillId="0" borderId="72" xfId="0" applyNumberFormat="1" applyFont="1" applyBorder="1" applyAlignment="1" applyProtection="1">
      <alignment horizontal="left" vertical="center" wrapText="1"/>
      <protection locked="0"/>
    </xf>
    <xf numFmtId="0" fontId="54" fillId="0" borderId="36" xfId="0" applyFont="1" applyBorder="1" applyAlignment="1" applyProtection="1">
      <alignment horizontal="left" vertical="center" wrapText="1"/>
      <protection locked="0"/>
    </xf>
    <xf numFmtId="14" fontId="54" fillId="0" borderId="36" xfId="1" applyNumberFormat="1" applyFont="1" applyBorder="1" applyAlignment="1" applyProtection="1">
      <alignment horizontal="left" vertical="center" wrapText="1"/>
      <protection locked="0"/>
    </xf>
    <xf numFmtId="14" fontId="32" fillId="0" borderId="37" xfId="0" applyNumberFormat="1" applyFont="1" applyBorder="1" applyAlignment="1" applyProtection="1">
      <alignment horizontal="center" vertical="center" wrapText="1"/>
      <protection locked="0"/>
    </xf>
    <xf numFmtId="14" fontId="32" fillId="43" borderId="73" xfId="0" applyNumberFormat="1" applyFont="1" applyFill="1" applyBorder="1" applyAlignment="1" applyProtection="1">
      <alignment horizontal="left" vertical="center" wrapText="1"/>
      <protection locked="0"/>
    </xf>
    <xf numFmtId="0" fontId="54" fillId="43" borderId="39" xfId="0" applyFont="1" applyFill="1" applyBorder="1" applyAlignment="1" applyProtection="1">
      <alignment horizontal="left" vertical="center" wrapText="1"/>
      <protection locked="0"/>
    </xf>
    <xf numFmtId="14" fontId="54" fillId="43" borderId="39" xfId="1" applyNumberFormat="1" applyFont="1" applyFill="1" applyBorder="1" applyAlignment="1" applyProtection="1">
      <alignment horizontal="left" vertical="center" wrapText="1"/>
      <protection locked="0"/>
    </xf>
    <xf numFmtId="14" fontId="32" fillId="43" borderId="4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left" vertical="top"/>
      <protection locked="0"/>
    </xf>
    <xf numFmtId="49" fontId="26" fillId="0" borderId="33" xfId="0" applyNumberFormat="1" applyFont="1" applyBorder="1" applyAlignment="1" applyProtection="1">
      <alignment horizontal="left" vertical="top" wrapText="1"/>
      <protection locked="0"/>
    </xf>
    <xf numFmtId="1" fontId="105" fillId="0" borderId="33" xfId="0" applyNumberFormat="1" applyFont="1" applyBorder="1" applyAlignment="1" applyProtection="1">
      <alignment horizontal="center" vertical="top" wrapText="1"/>
      <protection locked="0"/>
    </xf>
    <xf numFmtId="49" fontId="26" fillId="0" borderId="36" xfId="0" applyNumberFormat="1" applyFont="1" applyBorder="1" applyAlignment="1" applyProtection="1">
      <alignment horizontal="left" vertical="top" wrapText="1"/>
      <protection locked="0"/>
    </xf>
    <xf numFmtId="1" fontId="105" fillId="0" borderId="36" xfId="0" applyNumberFormat="1" applyFont="1" applyBorder="1" applyAlignment="1" applyProtection="1">
      <alignment horizontal="center" vertical="top" wrapText="1"/>
      <protection locked="0"/>
    </xf>
    <xf numFmtId="49" fontId="26" fillId="0" borderId="36" xfId="0" quotePrefix="1" applyNumberFormat="1" applyFont="1" applyBorder="1" applyAlignment="1" applyProtection="1">
      <alignment horizontal="left" vertical="top" wrapText="1"/>
      <protection locked="0"/>
    </xf>
    <xf numFmtId="49" fontId="26" fillId="0" borderId="39" xfId="0" applyNumberFormat="1" applyFont="1" applyBorder="1" applyAlignment="1" applyProtection="1">
      <alignment horizontal="left" vertical="top" wrapText="1"/>
      <protection locked="0"/>
    </xf>
    <xf numFmtId="0" fontId="26" fillId="0" borderId="35" xfId="0" applyFont="1" applyBorder="1" applyAlignment="1" applyProtection="1">
      <alignment horizontal="left" vertical="center" wrapText="1"/>
      <protection locked="0"/>
    </xf>
    <xf numFmtId="0" fontId="26" fillId="0" borderId="36" xfId="0" applyFont="1" applyBorder="1" applyAlignment="1" applyProtection="1">
      <alignment horizontal="left" vertical="center" wrapText="1"/>
      <protection locked="0"/>
    </xf>
    <xf numFmtId="0" fontId="63" fillId="0" borderId="36" xfId="0" applyFont="1" applyBorder="1" applyAlignment="1" applyProtection="1">
      <alignment horizontal="left" vertical="center" wrapText="1"/>
      <protection locked="0"/>
    </xf>
    <xf numFmtId="168" fontId="26" fillId="0" borderId="36" xfId="5" applyNumberFormat="1" applyFont="1" applyBorder="1" applyAlignment="1" applyProtection="1">
      <alignment horizontal="center" vertical="center" wrapText="1"/>
      <protection locked="0"/>
    </xf>
    <xf numFmtId="177" fontId="26" fillId="0" borderId="36" xfId="5" applyNumberFormat="1" applyFont="1" applyBorder="1" applyAlignment="1" applyProtection="1">
      <alignment horizontal="center" vertical="center" wrapText="1"/>
      <protection locked="0"/>
    </xf>
    <xf numFmtId="0" fontId="26" fillId="0" borderId="36" xfId="5" applyNumberFormat="1" applyFont="1" applyBorder="1" applyAlignment="1" applyProtection="1">
      <alignment horizontal="left" vertical="center" wrapText="1"/>
      <protection locked="0"/>
    </xf>
    <xf numFmtId="176" fontId="26" fillId="0" borderId="36" xfId="0" applyNumberFormat="1" applyFont="1" applyBorder="1" applyAlignment="1" applyProtection="1">
      <alignment horizontal="right" vertical="center" wrapText="1"/>
      <protection locked="0"/>
    </xf>
    <xf numFmtId="168" fontId="26" fillId="0" borderId="36" xfId="5" applyNumberFormat="1" applyFont="1" applyBorder="1" applyAlignment="1" applyProtection="1">
      <alignment horizontal="left" vertical="center" wrapText="1"/>
      <protection locked="0"/>
    </xf>
    <xf numFmtId="0" fontId="26" fillId="13" borderId="0" xfId="0" applyFont="1" applyFill="1" applyAlignment="1" applyProtection="1">
      <alignment horizontal="center" vertical="center" wrapText="1"/>
      <protection locked="0"/>
    </xf>
    <xf numFmtId="0" fontId="26" fillId="13" borderId="0" xfId="0" applyFont="1" applyFill="1" applyAlignment="1" applyProtection="1">
      <alignment horizontal="center" vertical="center" wrapText="1"/>
      <protection locked="0" hidden="1"/>
    </xf>
    <xf numFmtId="0" fontId="43" fillId="0" borderId="89" xfId="0" applyFont="1" applyBorder="1" applyAlignment="1" applyProtection="1">
      <alignment vertical="center"/>
      <protection locked="0"/>
    </xf>
    <xf numFmtId="0" fontId="32" fillId="0" borderId="0" xfId="0" applyFont="1" applyAlignment="1" applyProtection="1">
      <alignment horizontal="right" vertical="top"/>
      <protection locked="0" hidden="1"/>
    </xf>
    <xf numFmtId="9" fontId="32" fillId="11" borderId="0" xfId="15" applyFont="1" applyFill="1" applyAlignment="1" applyProtection="1">
      <alignment horizontal="left"/>
      <protection locked="0"/>
    </xf>
    <xf numFmtId="9" fontId="44" fillId="11" borderId="0" xfId="15" applyFont="1" applyFill="1" applyAlignment="1" applyProtection="1">
      <alignment horizontal="left"/>
      <protection locked="0"/>
    </xf>
    <xf numFmtId="177" fontId="26" fillId="0" borderId="100" xfId="5" applyNumberFormat="1" applyFont="1" applyBorder="1" applyAlignment="1" applyProtection="1">
      <alignment horizontal="center" vertical="center" wrapText="1"/>
      <protection locked="0"/>
    </xf>
    <xf numFmtId="14" fontId="32" fillId="0" borderId="75" xfId="0" applyNumberFormat="1" applyFont="1" applyBorder="1" applyAlignment="1" applyProtection="1">
      <alignment horizontal="left" vertical="top"/>
      <protection locked="0"/>
    </xf>
    <xf numFmtId="0" fontId="26" fillId="11" borderId="0" xfId="0" applyFont="1" applyFill="1" applyAlignment="1" applyProtection="1">
      <alignment vertical="top" wrapText="1"/>
      <protection locked="0"/>
    </xf>
    <xf numFmtId="14" fontId="32" fillId="0" borderId="13" xfId="0" applyNumberFormat="1" applyFont="1" applyBorder="1" applyAlignment="1" applyProtection="1">
      <alignment horizontal="left" vertical="top" wrapText="1"/>
      <protection locked="0"/>
    </xf>
    <xf numFmtId="1" fontId="26" fillId="0" borderId="74" xfId="0" applyNumberFormat="1" applyFont="1" applyBorder="1" applyAlignment="1" applyProtection="1">
      <alignment horizontal="center" vertical="top"/>
      <protection locked="0"/>
    </xf>
    <xf numFmtId="0" fontId="26" fillId="0" borderId="108" xfId="0" applyFont="1" applyBorder="1" applyAlignment="1" applyProtection="1">
      <alignment horizontal="left" vertical="top"/>
      <protection locked="0"/>
    </xf>
    <xf numFmtId="1" fontId="26" fillId="0" borderId="109" xfId="0" applyNumberFormat="1" applyFont="1" applyBorder="1" applyAlignment="1" applyProtection="1">
      <alignment horizontal="center" vertical="top"/>
      <protection locked="0"/>
    </xf>
    <xf numFmtId="0" fontId="32" fillId="0" borderId="71" xfId="0" applyFont="1" applyBorder="1" applyAlignment="1" applyProtection="1">
      <alignment horizontal="left" vertical="top" wrapText="1"/>
      <protection locked="0"/>
    </xf>
    <xf numFmtId="14" fontId="32" fillId="0" borderId="71" xfId="1" applyNumberFormat="1" applyFont="1" applyFill="1" applyBorder="1" applyAlignment="1" applyProtection="1">
      <alignment horizontal="left" vertical="top" wrapText="1"/>
      <protection locked="0"/>
    </xf>
    <xf numFmtId="1" fontId="32" fillId="0" borderId="74" xfId="1" applyNumberFormat="1" applyFont="1" applyFill="1" applyBorder="1" applyAlignment="1" applyProtection="1">
      <alignment horizontal="center" vertical="top" wrapText="1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0" fontId="43" fillId="0" borderId="13" xfId="0" applyFont="1" applyBorder="1" applyAlignment="1" applyProtection="1">
      <alignment horizontal="left" vertical="center"/>
      <protection locked="0"/>
    </xf>
    <xf numFmtId="14" fontId="32" fillId="0" borderId="71" xfId="0" applyNumberFormat="1" applyFont="1" applyBorder="1" applyAlignment="1" applyProtection="1">
      <alignment horizontal="left" vertical="top" wrapText="1"/>
      <protection locked="0"/>
    </xf>
    <xf numFmtId="14" fontId="32" fillId="0" borderId="108" xfId="0" applyNumberFormat="1" applyFont="1" applyBorder="1" applyAlignment="1" applyProtection="1">
      <alignment horizontal="left" vertical="top" wrapText="1"/>
      <protection locked="0"/>
    </xf>
    <xf numFmtId="1" fontId="91" fillId="0" borderId="33" xfId="0" applyNumberFormat="1" applyFont="1" applyBorder="1" applyAlignment="1" applyProtection="1">
      <alignment horizontal="center" vertical="center" wrapText="1"/>
      <protection locked="0"/>
    </xf>
    <xf numFmtId="1" fontId="91" fillId="0" borderId="36" xfId="0" applyNumberFormat="1" applyFont="1" applyBorder="1" applyAlignment="1" applyProtection="1">
      <alignment horizontal="center" vertical="center" wrapText="1"/>
      <protection locked="0"/>
    </xf>
    <xf numFmtId="1" fontId="42" fillId="0" borderId="39" xfId="0" applyNumberFormat="1" applyFont="1" applyBorder="1" applyAlignment="1" applyProtection="1">
      <alignment horizontal="center" vertical="center" wrapText="1"/>
      <protection locked="0"/>
    </xf>
    <xf numFmtId="0" fontId="32" fillId="24" borderId="35" xfId="0" applyFont="1" applyFill="1" applyBorder="1" applyAlignment="1" applyProtection="1">
      <alignment horizontal="center" vertical="top"/>
      <protection locked="0"/>
    </xf>
    <xf numFmtId="0" fontId="32" fillId="25" borderId="35" xfId="0" applyFont="1" applyFill="1" applyBorder="1" applyAlignment="1" applyProtection="1">
      <alignment horizontal="center" vertical="top"/>
      <protection locked="0"/>
    </xf>
    <xf numFmtId="0" fontId="32" fillId="4" borderId="35" xfId="0" applyFont="1" applyFill="1" applyBorder="1" applyAlignment="1" applyProtection="1">
      <alignment horizontal="center" vertical="top"/>
      <protection locked="0"/>
    </xf>
    <xf numFmtId="0" fontId="32" fillId="28" borderId="35" xfId="0" applyFont="1" applyFill="1" applyBorder="1" applyAlignment="1" applyProtection="1">
      <alignment horizontal="center" vertical="top"/>
      <protection locked="0"/>
    </xf>
    <xf numFmtId="0" fontId="32" fillId="26" borderId="35" xfId="0" applyFont="1" applyFill="1" applyBorder="1" applyAlignment="1" applyProtection="1">
      <alignment horizontal="center" vertical="top"/>
      <protection locked="0"/>
    </xf>
    <xf numFmtId="0" fontId="32" fillId="30" borderId="35" xfId="0" applyFont="1" applyFill="1" applyBorder="1" applyAlignment="1" applyProtection="1">
      <alignment horizontal="center" vertical="top"/>
      <protection locked="0"/>
    </xf>
    <xf numFmtId="0" fontId="32" fillId="23" borderId="35" xfId="0" applyFont="1" applyFill="1" applyBorder="1" applyAlignment="1" applyProtection="1">
      <alignment horizontal="center" vertical="top"/>
      <protection locked="0"/>
    </xf>
    <xf numFmtId="0" fontId="54" fillId="29" borderId="35" xfId="0" applyFont="1" applyFill="1" applyBorder="1" applyAlignment="1" applyProtection="1">
      <alignment horizontal="center" vertical="top"/>
      <protection locked="0"/>
    </xf>
    <xf numFmtId="0" fontId="32" fillId="32" borderId="35" xfId="0" applyFont="1" applyFill="1" applyBorder="1" applyAlignment="1" applyProtection="1">
      <alignment horizontal="center" vertical="top"/>
      <protection locked="0"/>
    </xf>
    <xf numFmtId="0" fontId="32" fillId="33" borderId="35" xfId="0" applyFont="1" applyFill="1" applyBorder="1" applyAlignment="1" applyProtection="1">
      <alignment horizontal="center" vertical="top"/>
      <protection locked="0"/>
    </xf>
    <xf numFmtId="9" fontId="26" fillId="4" borderId="36" xfId="0" quotePrefix="1" applyNumberFormat="1" applyFont="1" applyFill="1" applyBorder="1" applyAlignment="1" applyProtection="1">
      <alignment horizontal="left" vertical="center" wrapText="1"/>
      <protection locked="0"/>
    </xf>
    <xf numFmtId="0" fontId="54" fillId="43" borderId="36" xfId="1" applyNumberFormat="1" applyFont="1" applyFill="1" applyBorder="1" applyAlignment="1" applyProtection="1">
      <alignment horizontal="left" vertical="center" wrapText="1"/>
      <protection locked="0"/>
    </xf>
    <xf numFmtId="0" fontId="54" fillId="0" borderId="36" xfId="1" applyNumberFormat="1" applyFont="1" applyBorder="1" applyAlignment="1" applyProtection="1">
      <alignment horizontal="left" vertical="center" wrapText="1"/>
      <protection locked="0"/>
    </xf>
    <xf numFmtId="0" fontId="54" fillId="43" borderId="39" xfId="1" applyNumberFormat="1" applyFont="1" applyFill="1" applyBorder="1" applyAlignment="1" applyProtection="1">
      <alignment horizontal="left" vertical="center" wrapText="1"/>
      <protection locked="0"/>
    </xf>
    <xf numFmtId="0" fontId="36" fillId="43" borderId="72" xfId="0" applyFont="1" applyFill="1" applyBorder="1" applyAlignment="1" applyProtection="1">
      <alignment horizontal="left" vertical="center" wrapText="1"/>
      <protection locked="0"/>
    </xf>
    <xf numFmtId="0" fontId="36" fillId="49" borderId="72" xfId="0" applyFont="1" applyFill="1" applyBorder="1" applyAlignment="1" applyProtection="1">
      <alignment horizontal="left" vertical="center" wrapText="1"/>
      <protection locked="0"/>
    </xf>
    <xf numFmtId="0" fontId="13" fillId="8" borderId="4" xfId="9" applyFont="1" applyFill="1" applyBorder="1" applyAlignment="1" applyProtection="1">
      <alignment horizontal="center" vertical="center" wrapText="1"/>
      <protection locked="0" hidden="1"/>
    </xf>
    <xf numFmtId="0" fontId="83" fillId="0" borderId="0" xfId="0" applyFont="1" applyAlignment="1" applyProtection="1">
      <alignment vertical="center"/>
      <protection locked="0"/>
    </xf>
    <xf numFmtId="0" fontId="65" fillId="5" borderId="0" xfId="0" applyFont="1" applyFill="1" applyAlignment="1" applyProtection="1">
      <alignment horizontal="center" vertical="center"/>
      <protection locked="0"/>
    </xf>
    <xf numFmtId="0" fontId="83" fillId="36" borderId="45" xfId="0" applyFont="1" applyFill="1" applyBorder="1" applyAlignment="1" applyProtection="1">
      <alignment vertical="center"/>
      <protection locked="0"/>
    </xf>
    <xf numFmtId="0" fontId="83" fillId="36" borderId="46" xfId="0" applyFont="1" applyFill="1" applyBorder="1" applyAlignment="1" applyProtection="1">
      <alignment vertical="center"/>
      <protection locked="0"/>
    </xf>
    <xf numFmtId="0" fontId="83" fillId="36" borderId="47" xfId="0" applyFont="1" applyFill="1" applyBorder="1" applyAlignment="1" applyProtection="1">
      <alignment vertical="center"/>
      <protection locked="0"/>
    </xf>
    <xf numFmtId="0" fontId="65" fillId="0" borderId="45" xfId="0" applyFont="1" applyBorder="1" applyAlignment="1" applyProtection="1">
      <alignment horizontal="left" vertical="center"/>
      <protection locked="0"/>
    </xf>
    <xf numFmtId="0" fontId="65" fillId="0" borderId="33" xfId="0" applyFont="1" applyBorder="1" applyAlignment="1" applyProtection="1">
      <alignment horizontal="center" vertical="center"/>
      <protection locked="0"/>
    </xf>
    <xf numFmtId="0" fontId="65" fillId="0" borderId="0" xfId="0" applyFont="1" applyAlignment="1" applyProtection="1">
      <alignment vertical="center"/>
      <protection locked="0"/>
    </xf>
    <xf numFmtId="14" fontId="54" fillId="0" borderId="0" xfId="1" applyNumberFormat="1" applyFont="1" applyFill="1" applyBorder="1" applyAlignment="1" applyProtection="1">
      <alignment horizontal="left" vertical="top" wrapText="1"/>
      <protection locked="0"/>
    </xf>
    <xf numFmtId="0" fontId="26" fillId="0" borderId="35" xfId="0" quotePrefix="1" applyFont="1" applyBorder="1" applyAlignment="1" applyProtection="1">
      <alignment horizontal="center" vertical="top" wrapText="1"/>
      <protection locked="0"/>
    </xf>
    <xf numFmtId="0" fontId="32" fillId="0" borderId="37" xfId="0" applyFont="1" applyBorder="1" applyAlignment="1" applyProtection="1">
      <alignment horizontal="left" vertical="top" wrapText="1"/>
      <protection locked="0"/>
    </xf>
    <xf numFmtId="0" fontId="26" fillId="5" borderId="0" xfId="0" applyFont="1" applyFill="1" applyAlignment="1" applyProtection="1">
      <alignment horizontal="center" vertical="top"/>
      <protection locked="0"/>
    </xf>
    <xf numFmtId="0" fontId="45" fillId="0" borderId="0" xfId="0" applyFont="1" applyAlignment="1" applyProtection="1">
      <alignment horizontal="left" vertical="center"/>
      <protection locked="0"/>
    </xf>
    <xf numFmtId="0" fontId="36" fillId="0" borderId="0" xfId="0" applyFont="1" applyAlignment="1" applyProtection="1">
      <alignment vertical="top"/>
      <protection locked="0"/>
    </xf>
    <xf numFmtId="0" fontId="68" fillId="0" borderId="35" xfId="2" applyFont="1" applyBorder="1" applyAlignment="1" applyProtection="1">
      <alignment horizontal="center" vertical="center" wrapText="1"/>
      <protection locked="0"/>
    </xf>
    <xf numFmtId="9" fontId="68" fillId="0" borderId="33" xfId="15" applyFont="1" applyBorder="1" applyAlignment="1" applyProtection="1">
      <alignment horizontal="left" vertical="center"/>
      <protection locked="0"/>
    </xf>
    <xf numFmtId="0" fontId="43" fillId="0" borderId="71" xfId="0" applyFont="1" applyBorder="1" applyAlignment="1" applyProtection="1">
      <alignment horizontal="center" vertical="center"/>
      <protection locked="0"/>
    </xf>
    <xf numFmtId="0" fontId="5" fillId="50" borderId="3" xfId="9" applyFont="1" applyFill="1" applyBorder="1" applyAlignment="1" applyProtection="1">
      <alignment horizontal="left" vertical="top" wrapText="1"/>
      <protection locked="0"/>
    </xf>
    <xf numFmtId="0" fontId="5" fillId="50" borderId="111" xfId="9" applyFont="1" applyFill="1" applyBorder="1" applyAlignment="1" applyProtection="1">
      <alignment horizontal="left" vertical="top" wrapText="1"/>
      <protection locked="0"/>
    </xf>
    <xf numFmtId="0" fontId="165" fillId="17" borderId="0" xfId="31" applyFont="1" applyFill="1" applyAlignment="1" applyProtection="1">
      <alignment horizontal="center" vertical="center"/>
      <protection locked="0"/>
    </xf>
    <xf numFmtId="0" fontId="107" fillId="36" borderId="45" xfId="30" applyFont="1" applyFill="1" applyBorder="1" applyAlignment="1" applyProtection="1">
      <alignment horizontal="left" vertical="center" wrapText="1"/>
      <protection locked="0"/>
    </xf>
    <xf numFmtId="0" fontId="89" fillId="36" borderId="45" xfId="30" applyFont="1" applyFill="1" applyBorder="1" applyAlignment="1" applyProtection="1">
      <alignment horizontal="center" textRotation="90" wrapText="1"/>
      <protection locked="0"/>
    </xf>
    <xf numFmtId="0" fontId="156" fillId="36" borderId="45" xfId="30" applyFont="1" applyFill="1" applyBorder="1" applyProtection="1">
      <alignment horizontal="left" vertical="center" wrapText="1" indent="1"/>
      <protection locked="0"/>
    </xf>
    <xf numFmtId="0" fontId="38" fillId="0" borderId="0" xfId="30" applyFont="1" applyProtection="1">
      <alignment horizontal="left" vertical="center" wrapText="1" indent="1"/>
      <protection locked="0"/>
    </xf>
    <xf numFmtId="0" fontId="38" fillId="26" borderId="0" xfId="30" applyFont="1" applyFill="1" applyProtection="1">
      <alignment horizontal="left" vertical="center" wrapText="1" indent="1"/>
      <protection locked="0"/>
    </xf>
    <xf numFmtId="0" fontId="26" fillId="0" borderId="36" xfId="5" applyNumberFormat="1" applyFont="1" applyBorder="1" applyAlignment="1" applyProtection="1">
      <alignment horizontal="left" vertical="center" shrinkToFit="1"/>
      <protection locked="0"/>
    </xf>
    <xf numFmtId="49" fontId="43" fillId="4" borderId="43" xfId="0" applyNumberFormat="1" applyFont="1" applyFill="1" applyBorder="1" applyAlignment="1" applyProtection="1">
      <alignment horizontal="left" vertical="center" shrinkToFit="1"/>
      <protection locked="0"/>
    </xf>
    <xf numFmtId="49" fontId="32" fillId="4" borderId="43" xfId="0" applyNumberFormat="1" applyFont="1" applyFill="1" applyBorder="1" applyAlignment="1" applyProtection="1">
      <alignment horizontal="left" vertical="center" shrinkToFit="1"/>
      <protection locked="0"/>
    </xf>
    <xf numFmtId="14" fontId="32" fillId="4" borderId="42" xfId="0" applyNumberFormat="1" applyFont="1" applyFill="1" applyBorder="1" applyAlignment="1" applyProtection="1">
      <alignment horizontal="left" vertical="center" shrinkToFit="1"/>
      <protection locked="0"/>
    </xf>
    <xf numFmtId="14" fontId="32" fillId="4" borderId="43" xfId="0" applyNumberFormat="1" applyFont="1" applyFill="1" applyBorder="1" applyAlignment="1" applyProtection="1">
      <alignment horizontal="left" vertical="center" shrinkToFit="1"/>
      <protection locked="0"/>
    </xf>
    <xf numFmtId="49" fontId="32" fillId="4" borderId="42" xfId="0" applyNumberFormat="1" applyFont="1" applyFill="1" applyBorder="1" applyAlignment="1" applyProtection="1">
      <alignment vertical="center" shrinkToFit="1"/>
      <protection locked="0"/>
    </xf>
    <xf numFmtId="49" fontId="91" fillId="4" borderId="43" xfId="0" applyNumberFormat="1" applyFont="1" applyFill="1" applyBorder="1" applyAlignment="1" applyProtection="1">
      <alignment horizontal="left" vertical="center" shrinkToFit="1"/>
      <protection locked="0"/>
    </xf>
    <xf numFmtId="0" fontId="32" fillId="0" borderId="0" xfId="0" applyFont="1" applyAlignment="1" applyProtection="1">
      <alignment horizontal="left" vertical="top" shrinkToFit="1"/>
      <protection locked="0" hidden="1"/>
    </xf>
    <xf numFmtId="0" fontId="32" fillId="0" borderId="76" xfId="0" applyFont="1" applyBorder="1" applyAlignment="1" applyProtection="1">
      <alignment horizontal="left" vertical="top" shrinkToFit="1"/>
      <protection locked="0"/>
    </xf>
    <xf numFmtId="14" fontId="35" fillId="11" borderId="42" xfId="0" applyNumberFormat="1" applyFont="1" applyFill="1" applyBorder="1" applyAlignment="1" applyProtection="1">
      <alignment horizontal="left" vertical="center" wrapText="1"/>
      <protection locked="0" hidden="1"/>
    </xf>
    <xf numFmtId="0" fontId="67" fillId="0" borderId="32" xfId="2" applyFont="1" applyBorder="1" applyAlignment="1" applyProtection="1">
      <alignment horizontal="left" vertical="center" shrinkToFit="1"/>
      <protection locked="0"/>
    </xf>
    <xf numFmtId="0" fontId="67" fillId="0" borderId="35" xfId="2" applyFont="1" applyBorder="1" applyAlignment="1" applyProtection="1">
      <alignment horizontal="left" vertical="center" shrinkToFit="1"/>
      <protection locked="0"/>
    </xf>
    <xf numFmtId="0" fontId="76" fillId="0" borderId="0" xfId="2" applyFont="1" applyAlignment="1" applyProtection="1">
      <alignment shrinkToFit="1"/>
      <protection locked="0"/>
    </xf>
    <xf numFmtId="14" fontId="67" fillId="0" borderId="36" xfId="2" applyNumberFormat="1" applyFont="1" applyBorder="1" applyAlignment="1" applyProtection="1">
      <alignment horizontal="left" vertical="center" shrinkToFit="1"/>
      <protection locked="0"/>
    </xf>
    <xf numFmtId="3" fontId="67" fillId="0" borderId="37" xfId="2" applyNumberFormat="1" applyFont="1" applyBorder="1" applyAlignment="1" applyProtection="1">
      <alignment horizontal="left" vertical="center" shrinkToFit="1"/>
      <protection locked="0"/>
    </xf>
    <xf numFmtId="0" fontId="67" fillId="0" borderId="36" xfId="2" applyFont="1" applyBorder="1" applyAlignment="1" applyProtection="1">
      <alignment horizontal="left" vertical="center" shrinkToFit="1"/>
      <protection locked="0"/>
    </xf>
    <xf numFmtId="9" fontId="67" fillId="0" borderId="33" xfId="15" applyFont="1" applyBorder="1" applyAlignment="1" applyProtection="1">
      <alignment horizontal="left" vertical="center" shrinkToFit="1"/>
      <protection locked="0"/>
    </xf>
    <xf numFmtId="0" fontId="67" fillId="0" borderId="33" xfId="2" applyFont="1" applyBorder="1" applyAlignment="1" applyProtection="1">
      <alignment horizontal="center" vertical="center" shrinkToFit="1"/>
      <protection locked="0"/>
    </xf>
    <xf numFmtId="0" fontId="67" fillId="0" borderId="36" xfId="2" applyFont="1" applyBorder="1" applyAlignment="1" applyProtection="1">
      <alignment horizontal="center" vertical="center" shrinkToFit="1"/>
      <protection locked="0"/>
    </xf>
    <xf numFmtId="171" fontId="67" fillId="0" borderId="34" xfId="2" applyNumberFormat="1" applyFont="1" applyBorder="1" applyAlignment="1" applyProtection="1">
      <alignment horizontal="left" vertical="center" shrinkToFit="1"/>
      <protection locked="0"/>
    </xf>
    <xf numFmtId="14" fontId="67" fillId="0" borderId="33" xfId="2" applyNumberFormat="1" applyFont="1" applyBorder="1" applyAlignment="1" applyProtection="1">
      <alignment horizontal="left" vertical="center" shrinkToFit="1"/>
      <protection locked="0"/>
    </xf>
    <xf numFmtId="3" fontId="67" fillId="0" borderId="34" xfId="2" applyNumberFormat="1" applyFont="1" applyBorder="1" applyAlignment="1" applyProtection="1">
      <alignment horizontal="left" vertical="center" shrinkToFit="1"/>
      <protection locked="0"/>
    </xf>
    <xf numFmtId="171" fontId="67" fillId="0" borderId="37" xfId="2" applyNumberFormat="1" applyFont="1" applyBorder="1" applyAlignment="1" applyProtection="1">
      <alignment horizontal="left" vertical="center" shrinkToFit="1"/>
      <protection locked="0"/>
    </xf>
    <xf numFmtId="14" fontId="67" fillId="0" borderId="35" xfId="2" applyNumberFormat="1" applyFont="1" applyBorder="1" applyAlignment="1" applyProtection="1">
      <alignment horizontal="left" vertical="center" shrinkToFit="1"/>
      <protection locked="0"/>
    </xf>
    <xf numFmtId="0" fontId="67" fillId="0" borderId="35" xfId="2" quotePrefix="1" applyFont="1" applyBorder="1" applyAlignment="1" applyProtection="1">
      <alignment horizontal="left" vertical="center" shrinkToFit="1"/>
      <protection locked="0"/>
    </xf>
    <xf numFmtId="0" fontId="69" fillId="0" borderId="35" xfId="2" applyFont="1" applyBorder="1" applyAlignment="1" applyProtection="1">
      <alignment horizontal="left" vertical="center" shrinkToFit="1"/>
      <protection locked="0"/>
    </xf>
    <xf numFmtId="0" fontId="164" fillId="0" borderId="0" xfId="30" applyFont="1" applyAlignment="1" applyProtection="1">
      <alignment horizontal="center" vertical="center" shrinkToFit="1"/>
      <protection locked="0"/>
    </xf>
    <xf numFmtId="0" fontId="164" fillId="0" borderId="0" xfId="30" applyFont="1" applyAlignment="1" applyProtection="1">
      <alignment horizontal="left" vertical="center" shrinkToFit="1"/>
      <protection locked="0"/>
    </xf>
    <xf numFmtId="14" fontId="164" fillId="0" borderId="0" xfId="33" applyFont="1" applyAlignment="1" applyProtection="1">
      <alignment horizontal="left" vertical="center" shrinkToFit="1"/>
      <protection locked="0"/>
    </xf>
    <xf numFmtId="9" fontId="32" fillId="0" borderId="0" xfId="34" applyFont="1" applyAlignment="1" applyProtection="1">
      <alignment horizontal="right" vertical="center" shrinkToFit="1"/>
      <protection locked="0"/>
    </xf>
    <xf numFmtId="0" fontId="164" fillId="26" borderId="0" xfId="30" applyFont="1" applyFill="1" applyAlignment="1" applyProtection="1">
      <alignment horizontal="center" vertical="center" shrinkToFit="1"/>
      <protection locked="0"/>
    </xf>
    <xf numFmtId="0" fontId="164" fillId="26" borderId="0" xfId="30" applyFont="1" applyFill="1" applyAlignment="1" applyProtection="1">
      <alignment horizontal="left" vertical="center" shrinkToFit="1"/>
      <protection locked="0"/>
    </xf>
    <xf numFmtId="0" fontId="167" fillId="26" borderId="0" xfId="35" applyFont="1" applyFill="1" applyAlignment="1" applyProtection="1">
      <alignment horizontal="left" vertical="center" shrinkToFit="1"/>
      <protection locked="0"/>
    </xf>
    <xf numFmtId="14" fontId="164" fillId="26" borderId="0" xfId="33" applyFont="1" applyFill="1" applyAlignment="1" applyProtection="1">
      <alignment horizontal="left" vertical="center" shrinkToFit="1"/>
      <protection locked="0"/>
    </xf>
    <xf numFmtId="9" fontId="32" fillId="26" borderId="0" xfId="34" applyFont="1" applyFill="1" applyAlignment="1" applyProtection="1">
      <alignment horizontal="right" vertical="center" shrinkToFit="1"/>
      <protection locked="0"/>
    </xf>
    <xf numFmtId="0" fontId="73" fillId="0" borderId="0" xfId="0" applyFont="1" applyProtection="1">
      <protection locked="0"/>
    </xf>
    <xf numFmtId="0" fontId="13" fillId="0" borderId="0" xfId="9" applyFont="1" applyAlignment="1" applyProtection="1">
      <alignment vertical="center" wrapText="1"/>
      <protection locked="0"/>
    </xf>
    <xf numFmtId="0" fontId="13" fillId="8" borderId="31" xfId="9" applyFont="1" applyFill="1" applyBorder="1" applyAlignment="1" applyProtection="1">
      <alignment horizontal="center" vertical="center" wrapText="1"/>
      <protection locked="0"/>
    </xf>
    <xf numFmtId="0" fontId="5" fillId="2" borderId="3" xfId="9" applyFont="1" applyFill="1" applyBorder="1" applyAlignment="1" applyProtection="1">
      <alignment vertical="center" wrapText="1"/>
      <protection locked="0" hidden="1"/>
    </xf>
    <xf numFmtId="0" fontId="13" fillId="0" borderId="3" xfId="9" applyFont="1" applyBorder="1" applyAlignment="1" applyProtection="1">
      <alignment vertical="center" wrapText="1"/>
      <protection locked="0" hidden="1"/>
    </xf>
    <xf numFmtId="0" fontId="5" fillId="0" borderId="3" xfId="9" applyFont="1" applyBorder="1" applyAlignment="1" applyProtection="1">
      <alignment horizontal="left" vertical="top" wrapText="1"/>
      <protection locked="0" hidden="1"/>
    </xf>
    <xf numFmtId="0" fontId="5" fillId="0" borderId="70" xfId="9" applyFont="1" applyBorder="1" applyAlignment="1" applyProtection="1">
      <alignment horizontal="left" vertical="top" wrapText="1"/>
      <protection locked="0" hidden="1"/>
    </xf>
    <xf numFmtId="0" fontId="13" fillId="0" borderId="0" xfId="0" applyFont="1" applyProtection="1">
      <protection locked="0" hidden="1"/>
    </xf>
    <xf numFmtId="0" fontId="13" fillId="0" borderId="0" xfId="9" applyFont="1" applyAlignment="1" applyProtection="1">
      <alignment vertical="center" wrapText="1"/>
      <protection locked="0" hidden="1"/>
    </xf>
    <xf numFmtId="0" fontId="5" fillId="0" borderId="0" xfId="9" applyFont="1" applyAlignment="1" applyProtection="1">
      <alignment vertical="center" wrapText="1"/>
      <protection locked="0" hidden="1"/>
    </xf>
    <xf numFmtId="0" fontId="3" fillId="2" borderId="4" xfId="9" applyFont="1" applyFill="1" applyBorder="1" applyAlignment="1" applyProtection="1">
      <alignment vertical="center" wrapText="1"/>
      <protection locked="0" hidden="1"/>
    </xf>
    <xf numFmtId="0" fontId="13" fillId="8" borderId="3" xfId="9" applyFont="1" applyFill="1" applyBorder="1" applyAlignment="1" applyProtection="1">
      <alignment horizontal="center" vertical="center" wrapText="1"/>
      <protection locked="0" hidden="1"/>
    </xf>
    <xf numFmtId="0" fontId="21" fillId="8" borderId="3" xfId="9" applyFont="1" applyFill="1" applyBorder="1" applyAlignment="1" applyProtection="1">
      <alignment horizontal="left" vertical="top" wrapText="1"/>
      <protection locked="0" hidden="1"/>
    </xf>
    <xf numFmtId="0" fontId="21" fillId="8" borderId="70" xfId="9" applyFont="1" applyFill="1" applyBorder="1" applyAlignment="1" applyProtection="1">
      <alignment horizontal="left" vertical="top" wrapText="1"/>
      <protection locked="0" hidden="1"/>
    </xf>
    <xf numFmtId="0" fontId="3" fillId="8" borderId="4" xfId="9" applyFont="1" applyFill="1" applyBorder="1" applyAlignment="1" applyProtection="1">
      <alignment horizontal="left" vertical="top" wrapText="1"/>
      <protection locked="0" hidden="1"/>
    </xf>
    <xf numFmtId="0" fontId="3" fillId="8" borderId="61" xfId="9" applyFont="1" applyFill="1" applyBorder="1" applyAlignment="1" applyProtection="1">
      <alignment horizontal="left" vertical="top" wrapText="1"/>
      <protection locked="0" hidden="1"/>
    </xf>
    <xf numFmtId="0" fontId="158" fillId="2" borderId="56" xfId="9" applyFont="1" applyFill="1" applyBorder="1" applyAlignment="1" applyProtection="1">
      <alignment vertical="center" wrapText="1"/>
      <protection locked="0" hidden="1"/>
    </xf>
    <xf numFmtId="0" fontId="3" fillId="8" borderId="56" xfId="9" applyFont="1" applyFill="1" applyBorder="1" applyAlignment="1" applyProtection="1">
      <alignment horizontal="left" vertical="top" wrapText="1"/>
      <protection locked="0" hidden="1"/>
    </xf>
    <xf numFmtId="0" fontId="3" fillId="8" borderId="112" xfId="9" applyFont="1" applyFill="1" applyBorder="1" applyAlignment="1" applyProtection="1">
      <alignment horizontal="left" vertical="top" wrapText="1"/>
      <protection locked="0" hidden="1"/>
    </xf>
    <xf numFmtId="0" fontId="6" fillId="12" borderId="36" xfId="0" applyFont="1" applyFill="1" applyBorder="1" applyAlignment="1" applyProtection="1">
      <alignment vertical="top"/>
      <protection locked="0" hidden="1"/>
    </xf>
    <xf numFmtId="0" fontId="6" fillId="12" borderId="55" xfId="9" applyFont="1" applyFill="1" applyBorder="1" applyAlignment="1" applyProtection="1">
      <alignment vertical="top" wrapText="1"/>
      <protection locked="0" hidden="1"/>
    </xf>
    <xf numFmtId="0" fontId="20" fillId="12" borderId="36" xfId="8" applyFont="1" applyFill="1" applyBorder="1" applyAlignment="1" applyProtection="1">
      <alignment horizontal="left" vertical="top" wrapText="1"/>
      <protection locked="0" hidden="1"/>
    </xf>
    <xf numFmtId="0" fontId="20" fillId="12" borderId="37" xfId="8" applyFont="1" applyFill="1" applyBorder="1" applyAlignment="1" applyProtection="1">
      <alignment horizontal="left" vertical="top" wrapText="1"/>
      <protection locked="0" hidden="1"/>
    </xf>
    <xf numFmtId="0" fontId="13" fillId="5" borderId="0" xfId="9" applyFont="1" applyFill="1" applyAlignment="1" applyProtection="1">
      <alignment vertical="top" wrapText="1"/>
      <protection locked="0" hidden="1"/>
    </xf>
    <xf numFmtId="0" fontId="13" fillId="0" borderId="0" xfId="9" applyFont="1" applyAlignment="1" applyProtection="1">
      <alignment vertical="top" wrapText="1"/>
      <protection locked="0" hidden="1"/>
    </xf>
    <xf numFmtId="0" fontId="6" fillId="5" borderId="0" xfId="9" applyFont="1" applyFill="1" applyAlignment="1" applyProtection="1">
      <alignment vertical="top" wrapText="1"/>
      <protection locked="0" hidden="1"/>
    </xf>
    <xf numFmtId="0" fontId="5" fillId="2" borderId="31" xfId="9" applyFont="1" applyFill="1" applyBorder="1" applyAlignment="1" applyProtection="1">
      <alignment vertical="center" wrapText="1"/>
      <protection locked="0" hidden="1"/>
    </xf>
    <xf numFmtId="0" fontId="5" fillId="0" borderId="54" xfId="9" applyFont="1" applyBorder="1" applyAlignment="1" applyProtection="1">
      <alignment vertical="center" wrapText="1"/>
      <protection locked="0" hidden="1"/>
    </xf>
    <xf numFmtId="0" fontId="2" fillId="0" borderId="69" xfId="9" applyBorder="1" applyAlignment="1" applyProtection="1">
      <alignment vertical="center" wrapText="1"/>
      <protection locked="0" hidden="1"/>
    </xf>
    <xf numFmtId="0" fontId="5" fillId="0" borderId="31" xfId="9" applyFont="1" applyBorder="1" applyAlignment="1" applyProtection="1">
      <alignment horizontal="left" vertical="top" wrapText="1"/>
      <protection locked="0" hidden="1"/>
    </xf>
    <xf numFmtId="0" fontId="5" fillId="0" borderId="113" xfId="9" applyFont="1" applyBorder="1" applyAlignment="1" applyProtection="1">
      <alignment horizontal="left" vertical="top" wrapText="1"/>
      <protection locked="0" hidden="1"/>
    </xf>
    <xf numFmtId="0" fontId="5" fillId="2" borderId="57" xfId="9" applyFont="1" applyFill="1" applyBorder="1" applyAlignment="1" applyProtection="1">
      <alignment vertical="center" wrapText="1"/>
      <protection locked="0" hidden="1"/>
    </xf>
    <xf numFmtId="0" fontId="5" fillId="0" borderId="57" xfId="9" applyFont="1" applyBorder="1" applyAlignment="1" applyProtection="1">
      <alignment horizontal="left" vertical="top" wrapText="1"/>
      <protection locked="0" hidden="1"/>
    </xf>
    <xf numFmtId="0" fontId="5" fillId="2" borderId="4" xfId="9" applyFont="1" applyFill="1" applyBorder="1" applyAlignment="1" applyProtection="1">
      <alignment vertical="center" wrapText="1"/>
      <protection locked="0" hidden="1"/>
    </xf>
    <xf numFmtId="0" fontId="5" fillId="0" borderId="4" xfId="9" applyFont="1" applyBorder="1" applyAlignment="1" applyProtection="1">
      <alignment horizontal="left" vertical="top" wrapText="1"/>
      <protection locked="0" hidden="1"/>
    </xf>
    <xf numFmtId="0" fontId="5" fillId="0" borderId="61" xfId="9" applyFont="1" applyBorder="1" applyAlignment="1" applyProtection="1">
      <alignment horizontal="left" vertical="top" wrapText="1"/>
      <protection locked="0" hidden="1"/>
    </xf>
    <xf numFmtId="0" fontId="5" fillId="0" borderId="67" xfId="9" applyFont="1" applyBorder="1" applyAlignment="1" applyProtection="1">
      <alignment vertical="center" wrapText="1"/>
      <protection locked="0" hidden="1"/>
    </xf>
    <xf numFmtId="0" fontId="5" fillId="0" borderId="0" xfId="9" applyFont="1" applyAlignment="1" applyProtection="1">
      <alignment horizontal="left" vertical="top" wrapText="1"/>
      <protection locked="0" hidden="1"/>
    </xf>
    <xf numFmtId="0" fontId="6" fillId="12" borderId="36" xfId="0" applyFont="1" applyFill="1" applyBorder="1" applyProtection="1">
      <protection locked="0" hidden="1"/>
    </xf>
    <xf numFmtId="0" fontId="6" fillId="12" borderId="55" xfId="9" applyFont="1" applyFill="1" applyBorder="1" applyAlignment="1" applyProtection="1">
      <alignment vertical="center" wrapText="1"/>
      <protection locked="0" hidden="1"/>
    </xf>
    <xf numFmtId="0" fontId="6" fillId="5" borderId="0" xfId="9" applyFont="1" applyFill="1" applyAlignment="1" applyProtection="1">
      <alignment vertical="center" wrapText="1"/>
      <protection locked="0" hidden="1"/>
    </xf>
    <xf numFmtId="0" fontId="5" fillId="0" borderId="70" xfId="9" applyFont="1" applyBorder="1" applyAlignment="1" applyProtection="1">
      <alignment vertical="center" wrapText="1"/>
      <protection locked="0" hidden="1"/>
    </xf>
    <xf numFmtId="0" fontId="4" fillId="0" borderId="3" xfId="9" applyFont="1" applyBorder="1" applyAlignment="1" applyProtection="1">
      <alignment horizontal="left" vertical="top" wrapText="1"/>
      <protection locked="0" hidden="1"/>
    </xf>
    <xf numFmtId="0" fontId="4" fillId="0" borderId="70" xfId="9" applyFont="1" applyBorder="1" applyAlignment="1" applyProtection="1">
      <alignment horizontal="left" vertical="top" wrapText="1"/>
      <protection locked="0" hidden="1"/>
    </xf>
    <xf numFmtId="0" fontId="5" fillId="0" borderId="59" xfId="9" applyFont="1" applyBorder="1" applyAlignment="1" applyProtection="1">
      <alignment horizontal="left" vertical="top" wrapText="1"/>
      <protection locked="0" hidden="1"/>
    </xf>
    <xf numFmtId="0" fontId="5" fillId="0" borderId="60" xfId="9" applyFont="1" applyBorder="1" applyAlignment="1" applyProtection="1">
      <alignment vertical="center" wrapText="1"/>
      <protection locked="0" hidden="1"/>
    </xf>
    <xf numFmtId="0" fontId="5" fillId="0" borderId="58" xfId="9" applyFont="1" applyBorder="1" applyAlignment="1" applyProtection="1">
      <alignment vertical="center" wrapText="1"/>
      <protection locked="0" hidden="1"/>
    </xf>
    <xf numFmtId="0" fontId="20" fillId="12" borderId="36" xfId="8" applyFont="1" applyFill="1" applyBorder="1" applyAlignment="1" applyProtection="1">
      <alignment horizontal="left" vertical="center" wrapText="1"/>
      <protection locked="0" hidden="1"/>
    </xf>
    <xf numFmtId="0" fontId="5" fillId="2" borderId="31" xfId="9" applyFont="1" applyFill="1" applyBorder="1" applyAlignment="1" applyProtection="1">
      <alignment vertical="top" wrapText="1"/>
      <protection locked="0" hidden="1"/>
    </xf>
    <xf numFmtId="0" fontId="5" fillId="0" borderId="54" xfId="9" applyFont="1" applyBorder="1" applyAlignment="1" applyProtection="1">
      <alignment vertical="top" wrapText="1"/>
      <protection locked="0" hidden="1"/>
    </xf>
    <xf numFmtId="0" fontId="5" fillId="2" borderId="57" xfId="9" applyFont="1" applyFill="1" applyBorder="1" applyAlignment="1" applyProtection="1">
      <alignment vertical="top" wrapText="1"/>
      <protection locked="0" hidden="1"/>
    </xf>
    <xf numFmtId="0" fontId="5" fillId="2" borderId="4" xfId="9" applyFont="1" applyFill="1" applyBorder="1" applyAlignment="1" applyProtection="1">
      <alignment vertical="top" wrapText="1"/>
      <protection locked="0" hidden="1"/>
    </xf>
    <xf numFmtId="0" fontId="0" fillId="0" borderId="3" xfId="9" applyFont="1" applyBorder="1" applyAlignment="1" applyProtection="1">
      <alignment horizontal="left" vertical="center" wrapText="1"/>
      <protection locked="0" hidden="1"/>
    </xf>
    <xf numFmtId="0" fontId="0" fillId="0" borderId="70" xfId="9" applyFont="1" applyBorder="1" applyAlignment="1" applyProtection="1">
      <alignment horizontal="left" vertical="center" wrapText="1"/>
      <protection locked="0" hidden="1"/>
    </xf>
    <xf numFmtId="0" fontId="20" fillId="12" borderId="37" xfId="8" applyFont="1" applyFill="1" applyBorder="1" applyAlignment="1" applyProtection="1">
      <alignment horizontal="left" vertical="center" wrapText="1"/>
      <protection locked="0" hidden="1"/>
    </xf>
    <xf numFmtId="0" fontId="5" fillId="0" borderId="31" xfId="9" applyFont="1" applyBorder="1" applyAlignment="1" applyProtection="1">
      <alignment vertical="center" wrapText="1"/>
      <protection locked="0" hidden="1"/>
    </xf>
    <xf numFmtId="0" fontId="5" fillId="0" borderId="113" xfId="9" applyFont="1" applyBorder="1" applyAlignment="1" applyProtection="1">
      <alignment vertical="center" wrapText="1"/>
      <protection locked="0" hidden="1"/>
    </xf>
    <xf numFmtId="0" fontId="5" fillId="0" borderId="57" xfId="9" applyFont="1" applyBorder="1" applyAlignment="1" applyProtection="1">
      <alignment vertical="center" wrapText="1"/>
      <protection locked="0" hidden="1"/>
    </xf>
    <xf numFmtId="0" fontId="5" fillId="0" borderId="4" xfId="9" applyFont="1" applyBorder="1" applyAlignment="1" applyProtection="1">
      <alignment vertical="center" wrapText="1"/>
      <protection locked="0" hidden="1"/>
    </xf>
    <xf numFmtId="0" fontId="5" fillId="0" borderId="61" xfId="9" applyFont="1" applyBorder="1" applyAlignment="1" applyProtection="1">
      <alignment vertical="center" wrapText="1"/>
      <protection locked="0" hidden="1"/>
    </xf>
    <xf numFmtId="0" fontId="5" fillId="0" borderId="31" xfId="0" applyFont="1" applyBorder="1" applyProtection="1">
      <protection locked="0" hidden="1"/>
    </xf>
    <xf numFmtId="0" fontId="5" fillId="0" borderId="4" xfId="9" applyFont="1" applyBorder="1" applyAlignment="1" applyProtection="1">
      <alignment horizontal="left" vertical="center" wrapText="1"/>
      <protection locked="0" hidden="1"/>
    </xf>
    <xf numFmtId="0" fontId="5" fillId="0" borderId="61" xfId="9" applyFont="1" applyBorder="1" applyAlignment="1" applyProtection="1">
      <alignment horizontal="left" vertical="center" wrapText="1"/>
      <protection locked="0" hidden="1"/>
    </xf>
    <xf numFmtId="0" fontId="5" fillId="0" borderId="55" xfId="9" applyFont="1" applyBorder="1" applyAlignment="1" applyProtection="1">
      <alignment horizontal="left" vertical="center" wrapText="1"/>
      <protection locked="0" hidden="1"/>
    </xf>
    <xf numFmtId="0" fontId="5" fillId="5" borderId="0" xfId="9" applyFont="1" applyFill="1" applyAlignment="1" applyProtection="1">
      <alignment vertical="center" wrapText="1"/>
      <protection locked="0" hidden="1"/>
    </xf>
    <xf numFmtId="0" fontId="5" fillId="2" borderId="56" xfId="9" applyFont="1" applyFill="1" applyBorder="1" applyAlignment="1" applyProtection="1">
      <alignment vertical="top" wrapText="1"/>
      <protection locked="0" hidden="1"/>
    </xf>
    <xf numFmtId="0" fontId="5" fillId="0" borderId="56" xfId="9" applyFont="1" applyBorder="1" applyAlignment="1" applyProtection="1">
      <alignment horizontal="left" vertical="top" wrapText="1"/>
      <protection locked="0" hidden="1"/>
    </xf>
    <xf numFmtId="0" fontId="5" fillId="0" borderId="112" xfId="9" applyFont="1" applyBorder="1" applyAlignment="1" applyProtection="1">
      <alignment horizontal="left" vertical="top" wrapText="1"/>
      <protection locked="0" hidden="1"/>
    </xf>
    <xf numFmtId="0" fontId="6" fillId="12" borderId="36" xfId="9" applyFont="1" applyFill="1" applyBorder="1" applyAlignment="1" applyProtection="1">
      <alignment vertical="center" wrapText="1"/>
      <protection locked="0" hidden="1"/>
    </xf>
    <xf numFmtId="0" fontId="6" fillId="12" borderId="36" xfId="2" applyFont="1" applyFill="1" applyBorder="1" applyAlignment="1" applyProtection="1">
      <alignment vertical="top" wrapText="1"/>
      <protection locked="0" hidden="1"/>
    </xf>
    <xf numFmtId="0" fontId="6" fillId="12" borderId="36" xfId="2" applyFont="1" applyFill="1" applyBorder="1" applyAlignment="1" applyProtection="1">
      <alignment horizontal="left" vertical="top" wrapText="1"/>
      <protection locked="0" hidden="1"/>
    </xf>
    <xf numFmtId="0" fontId="6" fillId="12" borderId="37" xfId="2" applyFont="1" applyFill="1" applyBorder="1" applyAlignment="1" applyProtection="1">
      <alignment horizontal="left" vertical="top" wrapText="1"/>
      <protection locked="0" hidden="1"/>
    </xf>
    <xf numFmtId="0" fontId="5" fillId="0" borderId="3" xfId="9" applyFont="1" applyBorder="1" applyAlignment="1" applyProtection="1">
      <alignment vertical="top" wrapText="1"/>
      <protection locked="0" hidden="1"/>
    </xf>
    <xf numFmtId="0" fontId="5" fillId="2" borderId="3" xfId="9" applyFont="1" applyFill="1" applyBorder="1" applyAlignment="1" applyProtection="1">
      <alignment vertical="top" wrapText="1"/>
      <protection locked="0" hidden="1"/>
    </xf>
    <xf numFmtId="0" fontId="20" fillId="12" borderId="0" xfId="8" applyFont="1" applyFill="1" applyAlignment="1" applyProtection="1">
      <alignment horizontal="left" vertical="top" wrapText="1"/>
      <protection locked="0" hidden="1"/>
    </xf>
    <xf numFmtId="0" fontId="10" fillId="0" borderId="67" xfId="9" applyFont="1" applyBorder="1" applyAlignment="1" applyProtection="1">
      <alignment horizontal="left" vertical="top" wrapText="1"/>
      <protection locked="0" hidden="1"/>
    </xf>
    <xf numFmtId="0" fontId="20" fillId="12" borderId="45" xfId="8" applyFont="1" applyFill="1" applyBorder="1" applyAlignment="1" applyProtection="1">
      <alignment horizontal="left" vertical="top" wrapText="1"/>
      <protection locked="0" hidden="1"/>
    </xf>
    <xf numFmtId="0" fontId="20" fillId="12" borderId="46" xfId="8" applyFont="1" applyFill="1" applyBorder="1" applyAlignment="1" applyProtection="1">
      <alignment horizontal="left" vertical="top" wrapText="1"/>
      <protection locked="0" hidden="1"/>
    </xf>
    <xf numFmtId="0" fontId="20" fillId="12" borderId="47" xfId="8" applyFont="1" applyFill="1" applyBorder="1" applyAlignment="1" applyProtection="1">
      <alignment horizontal="left" vertical="top" wrapText="1"/>
      <protection locked="0" hidden="1"/>
    </xf>
    <xf numFmtId="0" fontId="2" fillId="0" borderId="0" xfId="9" applyAlignment="1" applyProtection="1">
      <alignment vertical="center" wrapText="1"/>
      <protection locked="0" hidden="1"/>
    </xf>
    <xf numFmtId="0" fontId="10" fillId="2" borderId="68" xfId="9" applyFont="1" applyFill="1" applyBorder="1" applyAlignment="1" applyProtection="1">
      <alignment horizontal="left" vertical="top" wrapText="1"/>
      <protection locked="0" hidden="1"/>
    </xf>
    <xf numFmtId="0" fontId="10" fillId="0" borderId="3" xfId="9" applyFont="1" applyBorder="1" applyAlignment="1" applyProtection="1">
      <alignment horizontal="left" vertical="top" wrapText="1"/>
      <protection locked="0" hidden="1"/>
    </xf>
    <xf numFmtId="0" fontId="10" fillId="2" borderId="3" xfId="9" applyFont="1" applyFill="1" applyBorder="1" applyAlignment="1" applyProtection="1">
      <alignment horizontal="left" vertical="top" wrapText="1"/>
      <protection locked="0" hidden="1"/>
    </xf>
    <xf numFmtId="0" fontId="10" fillId="0" borderId="70" xfId="9" applyFont="1" applyBorder="1" applyAlignment="1" applyProtection="1">
      <alignment horizontal="left" vertical="top" wrapText="1"/>
      <protection locked="0" hidden="1"/>
    </xf>
    <xf numFmtId="0" fontId="10" fillId="2" borderId="66" xfId="9" applyFont="1" applyFill="1" applyBorder="1" applyAlignment="1" applyProtection="1">
      <alignment horizontal="left" vertical="top" wrapText="1"/>
      <protection locked="0" hidden="1"/>
    </xf>
    <xf numFmtId="0" fontId="4" fillId="0" borderId="66" xfId="9" applyFont="1" applyBorder="1" applyAlignment="1" applyProtection="1">
      <alignment horizontal="left" vertical="top" wrapText="1"/>
      <protection locked="0" hidden="1"/>
    </xf>
    <xf numFmtId="0" fontId="4" fillId="0" borderId="61" xfId="9" applyFont="1" applyBorder="1" applyAlignment="1" applyProtection="1">
      <alignment horizontal="left" vertical="top" wrapText="1"/>
      <protection locked="0" hidden="1"/>
    </xf>
    <xf numFmtId="0" fontId="5" fillId="0" borderId="69" xfId="9" applyFont="1" applyBorder="1" applyAlignment="1" applyProtection="1">
      <alignment vertical="center" wrapText="1"/>
      <protection locked="0" hidden="1"/>
    </xf>
    <xf numFmtId="0" fontId="5" fillId="0" borderId="114" xfId="9" applyFont="1" applyBorder="1" applyAlignment="1" applyProtection="1">
      <alignment vertical="center" wrapText="1"/>
      <protection locked="0" hidden="1"/>
    </xf>
    <xf numFmtId="0" fontId="5" fillId="0" borderId="111" xfId="9" applyFont="1" applyBorder="1" applyAlignment="1" applyProtection="1">
      <alignment vertical="top" wrapText="1"/>
      <protection locked="0" hidden="1"/>
    </xf>
    <xf numFmtId="0" fontId="5" fillId="0" borderId="111" xfId="9" applyFont="1" applyBorder="1" applyAlignment="1" applyProtection="1">
      <alignment horizontal="left" vertical="top" wrapText="1"/>
      <protection locked="0" hidden="1"/>
    </xf>
    <xf numFmtId="0" fontId="5" fillId="2" borderId="111" xfId="9" applyFont="1" applyFill="1" applyBorder="1" applyAlignment="1" applyProtection="1">
      <alignment vertical="top" wrapText="1"/>
      <protection locked="0" hidden="1"/>
    </xf>
    <xf numFmtId="0" fontId="14" fillId="12" borderId="46" xfId="8" applyFont="1" applyFill="1" applyBorder="1" applyAlignment="1" applyProtection="1">
      <alignment horizontal="left" vertical="center" wrapText="1"/>
      <protection locked="0" hidden="1"/>
    </xf>
    <xf numFmtId="0" fontId="23" fillId="12" borderId="67" xfId="9" applyFont="1" applyFill="1" applyBorder="1" applyAlignment="1" applyProtection="1">
      <alignment horizontal="left" vertical="center" wrapText="1"/>
      <protection locked="0" hidden="1"/>
    </xf>
    <xf numFmtId="0" fontId="14" fillId="12" borderId="47" xfId="8" applyFont="1" applyFill="1" applyBorder="1" applyAlignment="1" applyProtection="1">
      <alignment horizontal="left" vertical="center" wrapText="1"/>
      <protection locked="0" hidden="1"/>
    </xf>
    <xf numFmtId="0" fontId="11" fillId="0" borderId="0" xfId="9" applyFont="1" applyAlignment="1" applyProtection="1">
      <alignment horizontal="left" vertical="center" wrapText="1"/>
      <protection locked="0" hidden="1"/>
    </xf>
    <xf numFmtId="0" fontId="2" fillId="2" borderId="3" xfId="9" applyFill="1" applyBorder="1" applyAlignment="1" applyProtection="1">
      <alignment horizontal="left" vertical="center" wrapText="1"/>
      <protection locked="0" hidden="1"/>
    </xf>
    <xf numFmtId="0" fontId="24" fillId="0" borderId="70" xfId="9" applyFont="1" applyBorder="1" applyAlignment="1" applyProtection="1">
      <alignment horizontal="left" vertical="center" wrapText="1"/>
      <protection locked="0" hidden="1"/>
    </xf>
    <xf numFmtId="0" fontId="2" fillId="0" borderId="3" xfId="9" applyBorder="1" applyAlignment="1" applyProtection="1">
      <alignment horizontal="left" vertical="center" wrapText="1"/>
      <protection locked="0" hidden="1"/>
    </xf>
    <xf numFmtId="0" fontId="2" fillId="0" borderId="70" xfId="9" applyBorder="1" applyAlignment="1" applyProtection="1">
      <alignment horizontal="left" vertical="center" wrapText="1"/>
      <protection locked="0" hidden="1"/>
    </xf>
    <xf numFmtId="0" fontId="2" fillId="0" borderId="0" xfId="9" applyAlignment="1" applyProtection="1">
      <alignment horizontal="left" vertical="center" wrapText="1"/>
      <protection locked="0" hidden="1"/>
    </xf>
    <xf numFmtId="0" fontId="24" fillId="0" borderId="67" xfId="9" applyFont="1" applyBorder="1" applyAlignment="1" applyProtection="1">
      <alignment horizontal="left" vertical="center" wrapText="1"/>
      <protection locked="0" hidden="1"/>
    </xf>
    <xf numFmtId="0" fontId="0" fillId="0" borderId="0" xfId="9" applyFont="1" applyAlignment="1" applyProtection="1">
      <alignment horizontal="left" vertical="center" wrapText="1"/>
      <protection locked="0" hidden="1"/>
    </xf>
    <xf numFmtId="0" fontId="2" fillId="2" borderId="0" xfId="9" applyFill="1" applyAlignment="1" applyProtection="1">
      <alignment horizontal="left" vertical="center" wrapText="1"/>
      <protection locked="0" hidden="1"/>
    </xf>
    <xf numFmtId="0" fontId="14" fillId="12" borderId="36" xfId="8" applyFont="1" applyFill="1" applyBorder="1" applyAlignment="1" applyProtection="1">
      <alignment horizontal="left" vertical="top" wrapText="1"/>
      <protection locked="0" hidden="1"/>
    </xf>
    <xf numFmtId="0" fontId="24" fillId="0" borderId="67" xfId="9" applyFont="1" applyBorder="1" applyAlignment="1" applyProtection="1">
      <alignment horizontal="left" vertical="top" wrapText="1"/>
      <protection locked="0" hidden="1"/>
    </xf>
    <xf numFmtId="0" fontId="14" fillId="12" borderId="37" xfId="8" applyFont="1" applyFill="1" applyBorder="1" applyAlignment="1" applyProtection="1">
      <alignment horizontal="left" vertical="top" wrapText="1"/>
      <protection locked="0" hidden="1"/>
    </xf>
    <xf numFmtId="0" fontId="2" fillId="0" borderId="0" xfId="9" applyAlignment="1" applyProtection="1">
      <alignment vertical="top" wrapText="1"/>
      <protection locked="0" hidden="1"/>
    </xf>
    <xf numFmtId="0" fontId="2" fillId="2" borderId="68" xfId="9" applyFill="1" applyBorder="1" applyAlignment="1" applyProtection="1">
      <alignment vertical="top" wrapText="1"/>
      <protection locked="0" hidden="1"/>
    </xf>
    <xf numFmtId="0" fontId="24" fillId="0" borderId="3" xfId="9" applyFont="1" applyBorder="1" applyAlignment="1" applyProtection="1">
      <alignment vertical="top" wrapText="1"/>
      <protection locked="0" hidden="1"/>
    </xf>
    <xf numFmtId="0" fontId="0" fillId="0" borderId="68" xfId="9" applyFont="1" applyBorder="1" applyAlignment="1" applyProtection="1">
      <alignment horizontal="left" vertical="top" wrapText="1"/>
      <protection locked="0" hidden="1"/>
    </xf>
    <xf numFmtId="0" fontId="0" fillId="0" borderId="113" xfId="9" applyFont="1" applyBorder="1" applyAlignment="1" applyProtection="1">
      <alignment horizontal="left" vertical="top" wrapText="1"/>
      <protection locked="0" hidden="1"/>
    </xf>
    <xf numFmtId="0" fontId="2" fillId="2" borderId="3" xfId="9" applyFill="1" applyBorder="1" applyAlignment="1" applyProtection="1">
      <alignment vertical="top" wrapText="1"/>
      <protection locked="0" hidden="1"/>
    </xf>
    <xf numFmtId="0" fontId="0" fillId="0" borderId="3" xfId="9" applyFont="1" applyBorder="1" applyAlignment="1" applyProtection="1">
      <alignment horizontal="left" vertical="top" wrapText="1"/>
      <protection locked="0" hidden="1"/>
    </xf>
    <xf numFmtId="0" fontId="0" fillId="0" borderId="70" xfId="9" applyFont="1" applyBorder="1" applyAlignment="1" applyProtection="1">
      <alignment horizontal="left" vertical="top" wrapText="1"/>
      <protection locked="0" hidden="1"/>
    </xf>
    <xf numFmtId="0" fontId="0" fillId="0" borderId="3" xfId="9" applyFont="1" applyBorder="1" applyAlignment="1" applyProtection="1">
      <alignment vertical="top" wrapText="1"/>
      <protection locked="0" hidden="1"/>
    </xf>
    <xf numFmtId="0" fontId="0" fillId="0" borderId="70" xfId="9" applyFont="1" applyBorder="1" applyAlignment="1" applyProtection="1">
      <alignment vertical="top" wrapText="1"/>
      <protection locked="0" hidden="1"/>
    </xf>
    <xf numFmtId="0" fontId="7" fillId="0" borderId="3" xfId="9" applyFont="1" applyBorder="1" applyAlignment="1" applyProtection="1">
      <alignment vertical="top" wrapText="1"/>
      <protection locked="0" hidden="1"/>
    </xf>
    <xf numFmtId="0" fontId="7" fillId="0" borderId="70" xfId="9" applyFont="1" applyBorder="1" applyAlignment="1" applyProtection="1">
      <alignment vertical="top" wrapText="1"/>
      <protection locked="0" hidden="1"/>
    </xf>
    <xf numFmtId="0" fontId="0" fillId="0" borderId="69" xfId="9" applyFont="1" applyBorder="1" applyAlignment="1" applyProtection="1">
      <alignment vertical="top" wrapText="1"/>
      <protection locked="0" hidden="1"/>
    </xf>
    <xf numFmtId="0" fontId="0" fillId="0" borderId="69" xfId="9" applyFont="1" applyBorder="1" applyAlignment="1" applyProtection="1">
      <alignment horizontal="left" vertical="top" wrapText="1"/>
      <protection locked="0" hidden="1"/>
    </xf>
    <xf numFmtId="0" fontId="0" fillId="0" borderId="114" xfId="9" applyFont="1" applyBorder="1" applyAlignment="1" applyProtection="1">
      <alignment horizontal="left" vertical="top" wrapText="1"/>
      <protection locked="0" hidden="1"/>
    </xf>
    <xf numFmtId="0" fontId="0" fillId="0" borderId="69" xfId="9" quotePrefix="1" applyFont="1" applyBorder="1" applyAlignment="1" applyProtection="1">
      <alignment horizontal="left" vertical="top" wrapText="1"/>
      <protection locked="0" hidden="1"/>
    </xf>
    <xf numFmtId="0" fontId="0" fillId="0" borderId="114" xfId="9" quotePrefix="1" applyFont="1" applyBorder="1" applyAlignment="1" applyProtection="1">
      <alignment horizontal="left" vertical="top" wrapText="1"/>
      <protection locked="0" hidden="1"/>
    </xf>
    <xf numFmtId="0" fontId="0" fillId="0" borderId="0" xfId="0" applyProtection="1">
      <protection locked="0"/>
    </xf>
    <xf numFmtId="0" fontId="5" fillId="50" borderId="111" xfId="9" applyFont="1" applyFill="1" applyBorder="1" applyAlignment="1" applyProtection="1">
      <alignment horizontal="left" vertical="top" wrapText="1"/>
      <protection locked="0" hidden="1"/>
    </xf>
    <xf numFmtId="0" fontId="5" fillId="44" borderId="3" xfId="9" applyFont="1" applyFill="1" applyBorder="1" applyAlignment="1" applyProtection="1">
      <alignment vertical="top" wrapText="1"/>
      <protection locked="0" hidden="1"/>
    </xf>
    <xf numFmtId="0" fontId="5" fillId="6" borderId="3" xfId="9" applyFont="1" applyFill="1" applyBorder="1" applyAlignment="1" applyProtection="1">
      <alignment vertical="top" wrapText="1"/>
      <protection locked="0" hidden="1"/>
    </xf>
    <xf numFmtId="0" fontId="5" fillId="50" borderId="3" xfId="9" applyFont="1" applyFill="1" applyBorder="1" applyAlignment="1" applyProtection="1">
      <alignment horizontal="left" vertical="top" wrapText="1"/>
      <protection locked="0" hidden="1"/>
    </xf>
    <xf numFmtId="0" fontId="3" fillId="6" borderId="3" xfId="9" applyFont="1" applyFill="1" applyBorder="1" applyAlignment="1" applyProtection="1">
      <alignment vertical="top" wrapText="1"/>
      <protection locked="0" hidden="1"/>
    </xf>
    <xf numFmtId="0" fontId="5" fillId="50" borderId="0" xfId="9" applyFont="1" applyFill="1" applyAlignment="1" applyProtection="1">
      <alignment vertical="center" wrapText="1"/>
      <protection locked="0" hidden="1"/>
    </xf>
    <xf numFmtId="0" fontId="5" fillId="6" borderId="111" xfId="9" applyFont="1" applyFill="1" applyBorder="1" applyAlignment="1" applyProtection="1">
      <alignment vertical="top" wrapText="1"/>
      <protection locked="0" hidden="1"/>
    </xf>
    <xf numFmtId="0" fontId="10" fillId="0" borderId="110" xfId="9" applyFont="1" applyBorder="1" applyAlignment="1" applyProtection="1">
      <alignment horizontal="left" vertical="top" wrapText="1"/>
      <protection locked="0" hidden="1"/>
    </xf>
    <xf numFmtId="0" fontId="10" fillId="5" borderId="111" xfId="9" applyFont="1" applyFill="1" applyBorder="1" applyAlignment="1" applyProtection="1">
      <alignment horizontal="left" vertical="top" wrapText="1"/>
      <protection locked="0" hidden="1"/>
    </xf>
    <xf numFmtId="0" fontId="4" fillId="0" borderId="68" xfId="9" applyFont="1" applyBorder="1" applyAlignment="1" applyProtection="1">
      <alignment horizontal="left" vertical="top" wrapText="1"/>
      <protection locked="0" hidden="1"/>
    </xf>
    <xf numFmtId="0" fontId="10" fillId="0" borderId="68" xfId="9" applyFont="1" applyBorder="1" applyAlignment="1" applyProtection="1">
      <alignment horizontal="left" vertical="top" wrapText="1"/>
      <protection locked="0" hidden="1"/>
    </xf>
    <xf numFmtId="0" fontId="10" fillId="0" borderId="111" xfId="9" applyFont="1" applyBorder="1" applyAlignment="1" applyProtection="1">
      <alignment horizontal="left" vertical="top" wrapText="1"/>
      <protection locked="0" hidden="1"/>
    </xf>
    <xf numFmtId="0" fontId="4" fillId="0" borderId="111" xfId="9" applyFont="1" applyBorder="1" applyAlignment="1" applyProtection="1">
      <alignment horizontal="left" vertical="top" wrapText="1"/>
      <protection locked="0" hidden="1"/>
    </xf>
    <xf numFmtId="0" fontId="10" fillId="0" borderId="111" xfId="9" applyFont="1" applyBorder="1" applyAlignment="1" applyProtection="1">
      <alignment vertical="center" wrapText="1"/>
      <protection locked="0" hidden="1"/>
    </xf>
    <xf numFmtId="0" fontId="5" fillId="2" borderId="0" xfId="9" applyFont="1" applyFill="1" applyAlignment="1" applyProtection="1">
      <alignment vertical="center" wrapText="1"/>
      <protection locked="0" hidden="1"/>
    </xf>
    <xf numFmtId="0" fontId="27" fillId="0" borderId="0" xfId="0" applyFont="1" applyAlignment="1" applyProtection="1">
      <alignment vertical="center"/>
      <protection locked="0" hidden="1"/>
    </xf>
    <xf numFmtId="0" fontId="27" fillId="0" borderId="2" xfId="0" applyFont="1" applyBorder="1" applyAlignment="1" applyProtection="1">
      <alignment vertical="center"/>
      <protection locked="0" hidden="1"/>
    </xf>
    <xf numFmtId="0" fontId="29" fillId="0" borderId="2" xfId="0" applyFont="1" applyBorder="1" applyAlignment="1" applyProtection="1">
      <alignment horizontal="left" vertical="center"/>
      <protection locked="0" hidden="1"/>
    </xf>
    <xf numFmtId="0" fontId="30" fillId="0" borderId="2" xfId="0" applyFont="1" applyBorder="1" applyAlignment="1" applyProtection="1">
      <alignment vertical="center"/>
      <protection locked="0" hidden="1"/>
    </xf>
    <xf numFmtId="0" fontId="31" fillId="0" borderId="2" xfId="0" applyFont="1" applyBorder="1" applyAlignment="1" applyProtection="1">
      <alignment horizontal="right" vertical="center"/>
      <protection locked="0" hidden="1"/>
    </xf>
    <xf numFmtId="0" fontId="26" fillId="0" borderId="118" xfId="0" applyFont="1" applyBorder="1" applyProtection="1">
      <protection locked="0" hidden="1"/>
    </xf>
    <xf numFmtId="0" fontId="26" fillId="0" borderId="0" xfId="0" applyFont="1" applyAlignment="1" applyProtection="1">
      <alignment vertical="top"/>
      <protection locked="0"/>
    </xf>
    <xf numFmtId="14" fontId="33" fillId="0" borderId="8" xfId="0" applyNumberFormat="1" applyFont="1" applyBorder="1" applyAlignment="1" applyProtection="1">
      <alignment vertical="top"/>
      <protection locked="0"/>
    </xf>
    <xf numFmtId="0" fontId="34" fillId="0" borderId="8" xfId="0" applyFont="1" applyBorder="1" applyAlignment="1" applyProtection="1">
      <alignment vertical="top"/>
      <protection locked="0"/>
    </xf>
    <xf numFmtId="3" fontId="33" fillId="0" borderId="0" xfId="0" applyNumberFormat="1" applyFont="1" applyAlignment="1" applyProtection="1">
      <alignment horizontal="left" vertical="top"/>
      <protection locked="0"/>
    </xf>
    <xf numFmtId="14" fontId="33" fillId="0" borderId="8" xfId="0" applyNumberFormat="1" applyFont="1" applyBorder="1" applyAlignment="1" applyProtection="1">
      <alignment horizontal="left" vertical="top"/>
      <protection locked="0"/>
    </xf>
    <xf numFmtId="0" fontId="33" fillId="0" borderId="0" xfId="0" applyFont="1" applyAlignment="1" applyProtection="1">
      <alignment horizontal="center" vertical="top"/>
      <protection locked="0"/>
    </xf>
    <xf numFmtId="175" fontId="33" fillId="0" borderId="0" xfId="0" applyNumberFormat="1" applyFont="1" applyAlignment="1" applyProtection="1">
      <alignment horizontal="left" vertical="top"/>
      <protection locked="0"/>
    </xf>
    <xf numFmtId="1" fontId="35" fillId="0" borderId="0" xfId="0" applyNumberFormat="1" applyFont="1" applyAlignment="1" applyProtection="1">
      <alignment horizontal="left" vertical="center"/>
      <protection locked="0" hidden="1"/>
    </xf>
    <xf numFmtId="0" fontId="34" fillId="0" borderId="0" xfId="0" applyFont="1" applyAlignment="1" applyProtection="1">
      <alignment horizontal="right"/>
      <protection locked="0" hidden="1"/>
    </xf>
    <xf numFmtId="1" fontId="36" fillId="0" borderId="0" xfId="0" applyNumberFormat="1" applyFont="1" applyAlignment="1" applyProtection="1">
      <alignment horizontal="left" vertical="center"/>
      <protection locked="0" hidden="1"/>
    </xf>
    <xf numFmtId="0" fontId="38" fillId="0" borderId="0" xfId="0" applyFont="1" applyAlignment="1" applyProtection="1">
      <alignment vertical="top"/>
      <protection locked="0" hidden="1"/>
    </xf>
    <xf numFmtId="0" fontId="39" fillId="0" borderId="0" xfId="0" applyFont="1" applyAlignment="1" applyProtection="1">
      <alignment vertical="top"/>
      <protection locked="0" hidden="1"/>
    </xf>
    <xf numFmtId="14" fontId="38" fillId="0" borderId="0" xfId="0" applyNumberFormat="1" applyFont="1" applyAlignment="1" applyProtection="1">
      <alignment vertical="top"/>
      <protection locked="0" hidden="1"/>
    </xf>
    <xf numFmtId="0" fontId="38" fillId="0" borderId="0" xfId="0" applyFont="1" applyAlignment="1" applyProtection="1">
      <alignment horizontal="center" vertical="top"/>
      <protection locked="0" hidden="1"/>
    </xf>
    <xf numFmtId="14" fontId="38" fillId="0" borderId="0" xfId="0" applyNumberFormat="1" applyFont="1" applyAlignment="1" applyProtection="1">
      <alignment horizontal="left" vertical="top"/>
      <protection locked="0" hidden="1"/>
    </xf>
    <xf numFmtId="175" fontId="38" fillId="0" borderId="0" xfId="0" applyNumberFormat="1" applyFont="1" applyAlignment="1" applyProtection="1">
      <alignment horizontal="left" vertical="top"/>
      <protection locked="0" hidden="1"/>
    </xf>
    <xf numFmtId="0" fontId="33" fillId="0" borderId="0" xfId="0" applyFont="1" applyAlignment="1" applyProtection="1">
      <alignment horizontal="left" vertical="top"/>
      <protection locked="0" hidden="1"/>
    </xf>
    <xf numFmtId="1" fontId="35" fillId="0" borderId="0" xfId="0" applyNumberFormat="1" applyFont="1" applyAlignment="1" applyProtection="1">
      <alignment horizontal="center" vertical="center"/>
      <protection locked="0" hidden="1"/>
    </xf>
    <xf numFmtId="0" fontId="40" fillId="0" borderId="0" xfId="0" applyFont="1" applyAlignment="1" applyProtection="1">
      <alignment horizontal="left" vertical="top" wrapText="1"/>
      <protection locked="0" hidden="1"/>
    </xf>
    <xf numFmtId="14" fontId="38" fillId="0" borderId="0" xfId="0" applyNumberFormat="1" applyFont="1" applyProtection="1">
      <protection locked="0" hidden="1"/>
    </xf>
    <xf numFmtId="0" fontId="42" fillId="0" borderId="0" xfId="0" applyFont="1" applyProtection="1">
      <protection locked="0" hidden="1"/>
    </xf>
    <xf numFmtId="0" fontId="43" fillId="0" borderId="0" xfId="0" applyFont="1" applyProtection="1">
      <protection locked="0" hidden="1"/>
    </xf>
    <xf numFmtId="0" fontId="44" fillId="0" borderId="0" xfId="0" applyFont="1" applyProtection="1">
      <protection locked="0" hidden="1"/>
    </xf>
    <xf numFmtId="0" fontId="32" fillId="0" borderId="0" xfId="0" applyFont="1" applyAlignment="1" applyProtection="1">
      <alignment horizontal="left" vertical="center"/>
      <protection locked="0" hidden="1"/>
    </xf>
    <xf numFmtId="0" fontId="45" fillId="0" borderId="0" xfId="0" applyFont="1" applyAlignment="1" applyProtection="1">
      <alignment horizontal="left" vertical="center" indent="2"/>
      <protection locked="0" hidden="1"/>
    </xf>
    <xf numFmtId="0" fontId="51" fillId="0" borderId="0" xfId="0" applyFont="1" applyAlignment="1" applyProtection="1">
      <alignment horizontal="left" vertical="center"/>
      <protection locked="0" hidden="1"/>
    </xf>
    <xf numFmtId="0" fontId="49" fillId="0" borderId="0" xfId="0" applyFont="1" applyAlignment="1" applyProtection="1">
      <alignment horizontal="right"/>
      <protection locked="0"/>
    </xf>
    <xf numFmtId="0" fontId="159" fillId="0" borderId="0" xfId="0" applyFont="1" applyProtection="1">
      <protection locked="0" hidden="1"/>
    </xf>
    <xf numFmtId="0" fontId="32" fillId="28" borderId="71" xfId="0" applyFont="1" applyFill="1" applyBorder="1" applyProtection="1">
      <protection locked="0" hidden="1"/>
    </xf>
    <xf numFmtId="0" fontId="49" fillId="0" borderId="0" xfId="0" applyFont="1" applyProtection="1">
      <protection locked="0" hidden="1"/>
    </xf>
    <xf numFmtId="0" fontId="45" fillId="0" borderId="0" xfId="0" applyFont="1" applyAlignment="1" applyProtection="1">
      <alignment horizontal="left" vertical="top" indent="3"/>
      <protection locked="0"/>
    </xf>
    <xf numFmtId="0" fontId="27" fillId="0" borderId="2" xfId="0" applyFont="1" applyBorder="1" applyProtection="1">
      <protection locked="0" hidden="1"/>
    </xf>
    <xf numFmtId="0" fontId="27" fillId="0" borderId="64" xfId="0" applyFont="1" applyBorder="1" applyAlignment="1" applyProtection="1">
      <alignment vertical="center"/>
      <protection locked="0" hidden="1"/>
    </xf>
    <xf numFmtId="0" fontId="30" fillId="0" borderId="64" xfId="0" applyFont="1" applyBorder="1" applyAlignment="1" applyProtection="1">
      <alignment vertical="center"/>
      <protection locked="0" hidden="1"/>
    </xf>
    <xf numFmtId="0" fontId="57" fillId="0" borderId="2" xfId="0" applyFont="1" applyBorder="1" applyAlignment="1" applyProtection="1">
      <alignment horizontal="right" vertical="center"/>
      <protection locked="0"/>
    </xf>
    <xf numFmtId="0" fontId="55" fillId="0" borderId="0" xfId="0" applyFont="1" applyProtection="1">
      <protection locked="0" hidden="1"/>
    </xf>
    <xf numFmtId="0" fontId="82" fillId="44" borderId="91" xfId="0" applyFont="1" applyFill="1" applyBorder="1" applyAlignment="1" applyProtection="1">
      <alignment horizontal="right" vertical="center"/>
      <protection locked="0"/>
    </xf>
    <xf numFmtId="0" fontId="82" fillId="44" borderId="92" xfId="0" applyFont="1" applyFill="1" applyBorder="1" applyAlignment="1" applyProtection="1">
      <alignment horizontal="right" vertical="center"/>
      <protection locked="0"/>
    </xf>
    <xf numFmtId="0" fontId="82" fillId="0" borderId="92" xfId="0" applyFont="1" applyBorder="1" applyAlignment="1" applyProtection="1">
      <alignment horizontal="right" vertical="center"/>
      <protection locked="0"/>
    </xf>
    <xf numFmtId="0" fontId="82" fillId="0" borderId="92" xfId="0" applyFont="1" applyBorder="1" applyAlignment="1" applyProtection="1">
      <alignment horizontal="center" vertical="center"/>
      <protection locked="0"/>
    </xf>
    <xf numFmtId="0" fontId="55" fillId="0" borderId="92" xfId="0" applyFont="1" applyBorder="1" applyProtection="1">
      <protection locked="0" hidden="1"/>
    </xf>
    <xf numFmtId="0" fontId="55" fillId="0" borderId="93" xfId="0" applyFont="1" applyBorder="1" applyAlignment="1" applyProtection="1">
      <alignment horizontal="center" vertical="center"/>
      <protection locked="0" hidden="1"/>
    </xf>
    <xf numFmtId="1" fontId="55" fillId="0" borderId="0" xfId="0" applyNumberFormat="1" applyFont="1" applyProtection="1">
      <protection locked="0" hidden="1"/>
    </xf>
    <xf numFmtId="0" fontId="57" fillId="0" borderId="0" xfId="0" applyFont="1" applyAlignment="1" applyProtection="1">
      <alignment vertical="top"/>
      <protection locked="0"/>
    </xf>
    <xf numFmtId="0" fontId="56" fillId="0" borderId="0" xfId="0" applyFont="1" applyProtection="1">
      <protection locked="0" hidden="1"/>
    </xf>
    <xf numFmtId="0" fontId="82" fillId="44" borderId="94" xfId="0" applyFont="1" applyFill="1" applyBorder="1" applyAlignment="1" applyProtection="1">
      <alignment horizontal="right" vertical="center"/>
      <protection locked="0"/>
    </xf>
    <xf numFmtId="0" fontId="82" fillId="44" borderId="95" xfId="0" applyFont="1" applyFill="1" applyBorder="1" applyAlignment="1" applyProtection="1">
      <alignment horizontal="right" vertical="center"/>
      <protection locked="0"/>
    </xf>
    <xf numFmtId="0" fontId="82" fillId="0" borderId="95" xfId="0" applyFont="1" applyBorder="1" applyAlignment="1" applyProtection="1">
      <alignment horizontal="right" vertical="center"/>
      <protection locked="0"/>
    </xf>
    <xf numFmtId="0" fontId="82" fillId="0" borderId="95" xfId="0" applyFont="1" applyBorder="1" applyAlignment="1" applyProtection="1">
      <alignment horizontal="center" vertical="center"/>
      <protection locked="0"/>
    </xf>
    <xf numFmtId="0" fontId="56" fillId="0" borderId="95" xfId="0" applyFont="1" applyBorder="1" applyProtection="1">
      <protection locked="0" hidden="1"/>
    </xf>
    <xf numFmtId="0" fontId="56" fillId="0" borderId="96" xfId="0" applyFont="1" applyBorder="1" applyAlignment="1" applyProtection="1">
      <alignment horizontal="center" vertical="center"/>
      <protection locked="0" hidden="1"/>
    </xf>
    <xf numFmtId="1" fontId="56" fillId="0" borderId="0" xfId="0" applyNumberFormat="1" applyFont="1" applyProtection="1">
      <protection locked="0" hidden="1"/>
    </xf>
    <xf numFmtId="0" fontId="32" fillId="11" borderId="34" xfId="0" applyFont="1" applyFill="1" applyBorder="1" applyAlignment="1" applyProtection="1">
      <alignment horizontal="left" vertical="center" shrinkToFit="1"/>
      <protection locked="0" hidden="1"/>
    </xf>
    <xf numFmtId="0" fontId="32" fillId="4" borderId="42" xfId="0" applyFont="1" applyFill="1" applyBorder="1" applyAlignment="1" applyProtection="1">
      <alignment vertical="center" shrinkToFit="1"/>
      <protection locked="0" hidden="1"/>
    </xf>
    <xf numFmtId="0" fontId="32" fillId="11" borderId="42" xfId="0" applyFont="1" applyFill="1" applyBorder="1" applyAlignment="1" applyProtection="1">
      <alignment vertical="center" shrinkToFit="1"/>
      <protection locked="0" hidden="1"/>
    </xf>
    <xf numFmtId="0" fontId="43" fillId="11" borderId="42" xfId="0" applyFont="1" applyFill="1" applyBorder="1" applyAlignment="1" applyProtection="1">
      <alignment vertical="center" shrinkToFit="1"/>
      <protection locked="0" hidden="1"/>
    </xf>
    <xf numFmtId="0" fontId="32" fillId="11" borderId="42" xfId="0" applyFont="1" applyFill="1" applyBorder="1" applyAlignment="1" applyProtection="1">
      <alignment horizontal="left" vertical="center" shrinkToFit="1"/>
      <protection locked="0" hidden="1"/>
    </xf>
    <xf numFmtId="14" fontId="32" fillId="4" borderId="43" xfId="0" applyNumberFormat="1" applyFont="1" applyFill="1" applyBorder="1" applyAlignment="1" applyProtection="1">
      <alignment horizontal="left" vertical="center" shrinkToFit="1"/>
      <protection locked="0" hidden="1"/>
    </xf>
    <xf numFmtId="0" fontId="32" fillId="4" borderId="35" xfId="0" applyFont="1" applyFill="1" applyBorder="1" applyAlignment="1" applyProtection="1">
      <alignment vertical="top" shrinkToFit="1"/>
      <protection locked="0" hidden="1"/>
    </xf>
    <xf numFmtId="0" fontId="32" fillId="11" borderId="42" xfId="0" applyFont="1" applyFill="1" applyBorder="1" applyAlignment="1" applyProtection="1">
      <alignment vertical="center"/>
      <protection locked="0" hidden="1"/>
    </xf>
    <xf numFmtId="14" fontId="43" fillId="11" borderId="42" xfId="0" applyNumberFormat="1" applyFont="1" applyFill="1" applyBorder="1" applyAlignment="1" applyProtection="1">
      <alignment horizontal="left" vertical="center" wrapText="1"/>
      <protection locked="0" hidden="1"/>
    </xf>
    <xf numFmtId="0" fontId="56" fillId="0" borderId="0" xfId="0" applyFont="1" applyAlignment="1" applyProtection="1">
      <alignment vertical="center"/>
      <protection locked="0" hidden="1"/>
    </xf>
    <xf numFmtId="0" fontId="56" fillId="0" borderId="95" xfId="0" applyFont="1" applyBorder="1" applyAlignment="1" applyProtection="1">
      <alignment vertical="center"/>
      <protection locked="0" hidden="1"/>
    </xf>
    <xf numFmtId="1" fontId="56" fillId="0" borderId="0" xfId="0" applyNumberFormat="1" applyFont="1" applyAlignment="1" applyProtection="1">
      <alignment vertical="center"/>
      <protection locked="0" hidden="1"/>
    </xf>
    <xf numFmtId="0" fontId="32" fillId="0" borderId="0" xfId="0" applyFont="1" applyAlignment="1" applyProtection="1">
      <alignment vertical="center"/>
      <protection locked="0" hidden="1"/>
    </xf>
    <xf numFmtId="0" fontId="32" fillId="0" borderId="0" xfId="0" applyFont="1" applyAlignment="1" applyProtection="1">
      <alignment horizontal="right"/>
      <protection locked="0"/>
    </xf>
    <xf numFmtId="0" fontId="32" fillId="11" borderId="37" xfId="0" applyFont="1" applyFill="1" applyBorder="1" applyAlignment="1" applyProtection="1">
      <alignment horizontal="left" vertical="center" shrinkToFit="1"/>
      <protection locked="0" hidden="1"/>
    </xf>
    <xf numFmtId="0" fontId="26" fillId="4" borderId="43" xfId="0" applyFont="1" applyFill="1" applyBorder="1" applyAlignment="1" applyProtection="1">
      <alignment horizontal="left" vertical="center" shrinkToFit="1"/>
      <protection locked="0" hidden="1"/>
    </xf>
    <xf numFmtId="0" fontId="32" fillId="11" borderId="43" xfId="0" applyFont="1" applyFill="1" applyBorder="1" applyAlignment="1" applyProtection="1">
      <alignment vertical="center" shrinkToFit="1"/>
      <protection locked="0" hidden="1"/>
    </xf>
    <xf numFmtId="0" fontId="43" fillId="11" borderId="43" xfId="0" applyFont="1" applyFill="1" applyBorder="1" applyAlignment="1" applyProtection="1">
      <alignment vertical="center" shrinkToFit="1"/>
      <protection locked="0" hidden="1"/>
    </xf>
    <xf numFmtId="0" fontId="32" fillId="4" borderId="43" xfId="0" applyFont="1" applyFill="1" applyBorder="1" applyAlignment="1" applyProtection="1">
      <alignment horizontal="left" vertical="center" shrinkToFit="1"/>
      <protection locked="0" hidden="1"/>
    </xf>
    <xf numFmtId="0" fontId="32" fillId="11" borderId="43" xfId="0" applyFont="1" applyFill="1" applyBorder="1" applyAlignment="1" applyProtection="1">
      <alignment horizontal="left" vertical="center" shrinkToFit="1"/>
      <protection locked="0" hidden="1"/>
    </xf>
    <xf numFmtId="0" fontId="32" fillId="11" borderId="40" xfId="0" applyFont="1" applyFill="1" applyBorder="1" applyAlignment="1" applyProtection="1">
      <alignment horizontal="left" vertical="center" shrinkToFit="1"/>
      <protection locked="0" hidden="1"/>
    </xf>
    <xf numFmtId="0" fontId="62" fillId="0" borderId="0" xfId="0" applyFont="1" applyAlignment="1" applyProtection="1">
      <alignment vertical="center" wrapText="1"/>
      <protection locked="0" hidden="1"/>
    </xf>
    <xf numFmtId="0" fontId="43" fillId="0" borderId="0" xfId="0" applyFont="1" applyAlignment="1" applyProtection="1">
      <alignment vertical="center" wrapText="1"/>
      <protection locked="0" hidden="1"/>
    </xf>
    <xf numFmtId="168" fontId="83" fillId="28" borderId="102" xfId="0" applyNumberFormat="1" applyFont="1" applyFill="1" applyBorder="1" applyAlignment="1" applyProtection="1">
      <alignment vertical="center"/>
      <protection locked="0" hidden="1"/>
    </xf>
    <xf numFmtId="168" fontId="83" fillId="28" borderId="0" xfId="0" applyNumberFormat="1" applyFont="1" applyFill="1" applyAlignment="1" applyProtection="1">
      <alignment vertical="center"/>
      <protection locked="0" hidden="1"/>
    </xf>
    <xf numFmtId="0" fontId="73" fillId="0" borderId="0" xfId="0" applyFont="1" applyAlignment="1" applyProtection="1">
      <alignment horizontal="right"/>
      <protection locked="0"/>
    </xf>
    <xf numFmtId="0" fontId="32" fillId="28" borderId="32" xfId="0" applyFont="1" applyFill="1" applyBorder="1" applyAlignment="1" applyProtection="1">
      <alignment horizontal="left" vertical="center" wrapText="1"/>
      <protection locked="0" hidden="1"/>
    </xf>
    <xf numFmtId="0" fontId="32" fillId="28" borderId="33" xfId="0" applyFont="1" applyFill="1" applyBorder="1" applyAlignment="1" applyProtection="1">
      <alignment vertical="center" wrapText="1"/>
      <protection locked="0" hidden="1"/>
    </xf>
    <xf numFmtId="0" fontId="32" fillId="28" borderId="34" xfId="0" applyFont="1" applyFill="1" applyBorder="1" applyAlignment="1" applyProtection="1">
      <alignment vertical="center" wrapText="1"/>
      <protection locked="0" hidden="1"/>
    </xf>
    <xf numFmtId="0" fontId="45" fillId="28" borderId="33" xfId="0" applyFont="1" applyFill="1" applyBorder="1" applyAlignment="1" applyProtection="1">
      <alignment horizontal="center" vertical="center" textRotation="90" wrapText="1"/>
      <protection locked="0" hidden="1"/>
    </xf>
    <xf numFmtId="0" fontId="32" fillId="8" borderId="33" xfId="0" applyFont="1" applyFill="1" applyBorder="1" applyAlignment="1" applyProtection="1">
      <alignment horizontal="center" vertical="center" textRotation="90" wrapText="1"/>
      <protection locked="0" hidden="1"/>
    </xf>
    <xf numFmtId="0" fontId="32" fillId="8" borderId="33" xfId="0" applyFont="1" applyFill="1" applyBorder="1" applyAlignment="1" applyProtection="1">
      <alignment horizontal="center" vertical="center" wrapText="1"/>
      <protection locked="0" hidden="1"/>
    </xf>
    <xf numFmtId="0" fontId="32" fillId="42" borderId="32" xfId="0" applyFont="1" applyFill="1" applyBorder="1" applyAlignment="1" applyProtection="1">
      <alignment horizontal="center" vertical="center" wrapText="1"/>
      <protection locked="0" hidden="1"/>
    </xf>
    <xf numFmtId="0" fontId="26" fillId="28" borderId="33" xfId="0" applyFont="1" applyFill="1" applyBorder="1" applyAlignment="1" applyProtection="1">
      <alignment vertical="center" wrapText="1"/>
      <protection locked="0" hidden="1"/>
    </xf>
    <xf numFmtId="0" fontId="73" fillId="17" borderId="33" xfId="0" applyFont="1" applyFill="1" applyBorder="1" applyAlignment="1" applyProtection="1">
      <alignment vertical="center" wrapText="1"/>
      <protection locked="0" hidden="1"/>
    </xf>
    <xf numFmtId="0" fontId="152" fillId="17" borderId="33" xfId="0" applyFont="1" applyFill="1" applyBorder="1" applyAlignment="1" applyProtection="1">
      <alignment vertical="center" wrapText="1"/>
      <protection locked="0" hidden="1"/>
    </xf>
    <xf numFmtId="0" fontId="73" fillId="17" borderId="33" xfId="0" applyFont="1" applyFill="1" applyBorder="1" applyAlignment="1" applyProtection="1">
      <alignment horizontal="right" vertical="center" wrapText="1"/>
      <protection locked="0" hidden="1"/>
    </xf>
    <xf numFmtId="0" fontId="73" fillId="17" borderId="34" xfId="0" applyFont="1" applyFill="1" applyBorder="1" applyAlignment="1" applyProtection="1">
      <alignment horizontal="right" vertical="center" wrapText="1"/>
      <protection locked="0" hidden="1"/>
    </xf>
    <xf numFmtId="0" fontId="89" fillId="17" borderId="34" xfId="0" applyFont="1" applyFill="1" applyBorder="1" applyAlignment="1" applyProtection="1">
      <alignment horizontal="right" vertical="center" wrapText="1"/>
      <protection locked="0" hidden="1"/>
    </xf>
    <xf numFmtId="0" fontId="88" fillId="17" borderId="33" xfId="0" quotePrefix="1" applyFont="1" applyFill="1" applyBorder="1" applyAlignment="1" applyProtection="1">
      <alignment horizontal="right" vertical="center" wrapText="1"/>
      <protection locked="0" hidden="1"/>
    </xf>
    <xf numFmtId="0" fontId="89" fillId="47" borderId="33" xfId="0" applyFont="1" applyFill="1" applyBorder="1" applyAlignment="1" applyProtection="1">
      <alignment vertical="center" wrapText="1"/>
      <protection locked="0" hidden="1"/>
    </xf>
    <xf numFmtId="0" fontId="73" fillId="47" borderId="34" xfId="0" applyFont="1" applyFill="1" applyBorder="1" applyAlignment="1" applyProtection="1">
      <alignment horizontal="right" vertical="center" wrapText="1"/>
      <protection locked="0" hidden="1"/>
    </xf>
    <xf numFmtId="0" fontId="32" fillId="11" borderId="34" xfId="0" applyFont="1" applyFill="1" applyBorder="1" applyAlignment="1" applyProtection="1">
      <alignment horizontal="left" vertical="center" wrapText="1"/>
      <protection locked="0" hidden="1"/>
    </xf>
    <xf numFmtId="0" fontId="82" fillId="0" borderId="94" xfId="0" applyFont="1" applyBorder="1" applyAlignment="1" applyProtection="1">
      <alignment horizontal="center" vertical="center"/>
      <protection locked="0"/>
    </xf>
    <xf numFmtId="0" fontId="55" fillId="40" borderId="95" xfId="0" applyFont="1" applyFill="1" applyBorder="1" applyAlignment="1" applyProtection="1">
      <alignment vertical="center"/>
      <protection locked="0" hidden="1"/>
    </xf>
    <xf numFmtId="0" fontId="55" fillId="40" borderId="96" xfId="0" applyFont="1" applyFill="1" applyBorder="1" applyAlignment="1" applyProtection="1">
      <alignment vertical="center"/>
      <protection locked="0" hidden="1"/>
    </xf>
    <xf numFmtId="0" fontId="32" fillId="5" borderId="0" xfId="0" applyFont="1" applyFill="1" applyAlignment="1" applyProtection="1">
      <alignment horizontal="right"/>
      <protection locked="0"/>
    </xf>
    <xf numFmtId="0" fontId="26" fillId="5" borderId="32" xfId="0" applyFont="1" applyFill="1" applyBorder="1" applyAlignment="1" applyProtection="1">
      <alignment horizontal="left" vertical="center"/>
      <protection locked="0" hidden="1"/>
    </xf>
    <xf numFmtId="0" fontId="26" fillId="5" borderId="33" xfId="0" applyFont="1" applyFill="1" applyBorder="1" applyAlignment="1" applyProtection="1">
      <alignment vertical="center"/>
      <protection locked="0" hidden="1"/>
    </xf>
    <xf numFmtId="0" fontId="63" fillId="5" borderId="33" xfId="0" applyFont="1" applyFill="1" applyBorder="1" applyAlignment="1" applyProtection="1">
      <alignment vertical="center"/>
      <protection locked="0" hidden="1"/>
    </xf>
    <xf numFmtId="0" fontId="26" fillId="5" borderId="36" xfId="0" applyFont="1" applyFill="1" applyBorder="1" applyAlignment="1" applyProtection="1">
      <alignment vertical="center" wrapText="1"/>
      <protection locked="0" hidden="1"/>
    </xf>
    <xf numFmtId="0" fontId="26" fillId="5" borderId="33" xfId="0" applyFont="1" applyFill="1" applyBorder="1" applyAlignment="1" applyProtection="1">
      <alignment vertical="center" wrapText="1"/>
      <protection locked="0" hidden="1"/>
    </xf>
    <xf numFmtId="0" fontId="26" fillId="5" borderId="33" xfId="0" applyFont="1" applyFill="1" applyBorder="1" applyAlignment="1" applyProtection="1">
      <alignment horizontal="left" vertical="center"/>
      <protection locked="0" hidden="1"/>
    </xf>
    <xf numFmtId="0" fontId="63" fillId="5" borderId="36" xfId="0" applyFont="1" applyFill="1" applyBorder="1" applyAlignment="1" applyProtection="1">
      <alignment vertical="center" wrapText="1"/>
      <protection locked="0" hidden="1"/>
    </xf>
    <xf numFmtId="0" fontId="26" fillId="5" borderId="36" xfId="0" applyFont="1" applyFill="1" applyBorder="1" applyAlignment="1" applyProtection="1">
      <alignment vertical="center"/>
      <protection locked="0" hidden="1"/>
    </xf>
    <xf numFmtId="0" fontId="26" fillId="5" borderId="37" xfId="0" applyFont="1" applyFill="1" applyBorder="1" applyAlignment="1" applyProtection="1">
      <alignment vertical="center"/>
      <protection locked="0" hidden="1"/>
    </xf>
    <xf numFmtId="0" fontId="63" fillId="5" borderId="37" xfId="0" applyFont="1" applyFill="1" applyBorder="1" applyAlignment="1" applyProtection="1">
      <alignment vertical="center"/>
      <protection locked="0" hidden="1"/>
    </xf>
    <xf numFmtId="0" fontId="26" fillId="5" borderId="34" xfId="0" applyFont="1" applyFill="1" applyBorder="1" applyAlignment="1" applyProtection="1">
      <alignment horizontal="right" vertical="center" wrapText="1"/>
      <protection locked="0" hidden="1"/>
    </xf>
    <xf numFmtId="0" fontId="26" fillId="5" borderId="34" xfId="0" applyFont="1" applyFill="1" applyBorder="1" applyAlignment="1" applyProtection="1">
      <alignment horizontal="left" vertical="center"/>
      <protection locked="0" hidden="1"/>
    </xf>
    <xf numFmtId="0" fontId="56" fillId="5" borderId="0" xfId="0" applyFont="1" applyFill="1" applyAlignment="1" applyProtection="1">
      <alignment vertical="center"/>
      <protection locked="0" hidden="1"/>
    </xf>
    <xf numFmtId="0" fontId="55" fillId="5" borderId="95" xfId="0" applyFont="1" applyFill="1" applyBorder="1" applyAlignment="1" applyProtection="1">
      <alignment vertical="center"/>
      <protection locked="0" hidden="1"/>
    </xf>
    <xf numFmtId="0" fontId="56" fillId="5" borderId="95" xfId="0" applyFont="1" applyFill="1" applyBorder="1" applyAlignment="1" applyProtection="1">
      <alignment vertical="center"/>
      <protection locked="0" hidden="1"/>
    </xf>
    <xf numFmtId="0" fontId="55" fillId="5" borderId="96" xfId="0" applyFont="1" applyFill="1" applyBorder="1" applyAlignment="1" applyProtection="1">
      <alignment vertical="center"/>
      <protection locked="0" hidden="1"/>
    </xf>
    <xf numFmtId="1" fontId="56" fillId="5" borderId="0" xfId="0" applyNumberFormat="1" applyFont="1" applyFill="1" applyAlignment="1" applyProtection="1">
      <alignment vertical="center"/>
      <protection locked="0" hidden="1"/>
    </xf>
    <xf numFmtId="0" fontId="32" fillId="5" borderId="0" xfId="0" applyFont="1" applyFill="1" applyAlignment="1" applyProtection="1">
      <alignment vertical="center"/>
      <protection locked="0" hidden="1"/>
    </xf>
    <xf numFmtId="0" fontId="45" fillId="0" borderId="0" xfId="0" applyFont="1" applyAlignment="1" applyProtection="1">
      <alignment horizontal="right" vertical="center" wrapText="1"/>
      <protection locked="0" hidden="1"/>
    </xf>
    <xf numFmtId="177" fontId="26" fillId="0" borderId="37" xfId="5" applyNumberFormat="1" applyFont="1" applyBorder="1" applyAlignment="1" applyProtection="1">
      <alignment horizontal="center" vertical="center" wrapText="1"/>
      <protection locked="0"/>
    </xf>
    <xf numFmtId="176" fontId="26" fillId="0" borderId="36" xfId="0" applyNumberFormat="1" applyFont="1" applyBorder="1" applyAlignment="1" applyProtection="1">
      <alignment horizontal="right" vertical="center" wrapText="1"/>
      <protection locked="0" hidden="1"/>
    </xf>
    <xf numFmtId="176" fontId="26" fillId="0" borderId="37" xfId="0" applyNumberFormat="1" applyFont="1" applyBorder="1" applyAlignment="1" applyProtection="1">
      <alignment horizontal="right" vertical="center" wrapText="1"/>
      <protection locked="0" hidden="1"/>
    </xf>
    <xf numFmtId="0" fontId="56" fillId="0" borderId="0" xfId="0" applyFont="1" applyAlignment="1" applyProtection="1">
      <alignment horizontal="left" vertical="center" wrapText="1"/>
      <protection locked="0" hidden="1"/>
    </xf>
    <xf numFmtId="0" fontId="82" fillId="45" borderId="95" xfId="0" applyFont="1" applyFill="1" applyBorder="1" applyAlignment="1" applyProtection="1">
      <alignment horizontal="center" vertical="center"/>
      <protection locked="0"/>
    </xf>
    <xf numFmtId="0" fontId="56" fillId="0" borderId="95" xfId="0" applyFont="1" applyBorder="1" applyAlignment="1" applyProtection="1">
      <alignment horizontal="left" vertical="center"/>
      <protection locked="0" hidden="1"/>
    </xf>
    <xf numFmtId="0" fontId="56" fillId="0" borderId="96" xfId="0" applyFont="1" applyBorder="1" applyAlignment="1" applyProtection="1">
      <alignment horizontal="left" vertical="center"/>
      <protection locked="0" hidden="1"/>
    </xf>
    <xf numFmtId="0" fontId="56" fillId="0" borderId="0" xfId="0" applyFont="1" applyAlignment="1" applyProtection="1">
      <alignment horizontal="left" vertical="center"/>
      <protection locked="0" hidden="1"/>
    </xf>
    <xf numFmtId="1" fontId="56" fillId="0" borderId="0" xfId="0" applyNumberFormat="1" applyFont="1" applyAlignment="1" applyProtection="1">
      <alignment horizontal="left" vertical="center" wrapText="1"/>
      <protection locked="0" hidden="1"/>
    </xf>
    <xf numFmtId="0" fontId="32" fillId="0" borderId="0" xfId="0" applyFont="1" applyAlignment="1" applyProtection="1">
      <alignment horizontal="left" vertical="center" wrapText="1"/>
      <protection locked="0" hidden="1"/>
    </xf>
    <xf numFmtId="0" fontId="45" fillId="0" borderId="0" xfId="0" applyFont="1" applyAlignment="1" applyProtection="1">
      <alignment horizontal="right" vertical="top" wrapText="1"/>
      <protection locked="0" hidden="1"/>
    </xf>
    <xf numFmtId="0" fontId="26" fillId="11" borderId="43" xfId="0" applyFont="1" applyFill="1" applyBorder="1" applyAlignment="1" applyProtection="1">
      <alignment horizontal="left" vertical="top"/>
      <protection locked="0" hidden="1"/>
    </xf>
    <xf numFmtId="172" fontId="26" fillId="11" borderId="43" xfId="0" applyNumberFormat="1" applyFont="1" applyFill="1" applyBorder="1" applyAlignment="1" applyProtection="1">
      <alignment vertical="top"/>
      <protection locked="0" hidden="1"/>
    </xf>
    <xf numFmtId="0" fontId="26" fillId="11" borderId="43" xfId="0" applyFont="1" applyFill="1" applyBorder="1" applyAlignment="1" applyProtection="1">
      <alignment vertical="top"/>
      <protection locked="0" hidden="1"/>
    </xf>
    <xf numFmtId="0" fontId="91" fillId="11" borderId="43" xfId="0" applyFont="1" applyFill="1" applyBorder="1" applyAlignment="1" applyProtection="1">
      <alignment horizontal="left" vertical="top"/>
      <protection locked="0" hidden="1"/>
    </xf>
    <xf numFmtId="0" fontId="32" fillId="11" borderId="35" xfId="0" applyFont="1" applyFill="1" applyBorder="1" applyAlignment="1" applyProtection="1">
      <alignment horizontal="left" vertical="top"/>
      <protection locked="0" hidden="1"/>
    </xf>
    <xf numFmtId="168" fontId="26" fillId="34" borderId="36" xfId="5" applyNumberFormat="1" applyFont="1" applyFill="1" applyBorder="1" applyAlignment="1" applyProtection="1">
      <alignment horizontal="left" vertical="top"/>
      <protection locked="0" hidden="1"/>
    </xf>
    <xf numFmtId="176" fontId="63" fillId="34" borderId="36" xfId="0" applyNumberFormat="1" applyFont="1" applyFill="1" applyBorder="1" applyAlignment="1" applyProtection="1">
      <alignment horizontal="right" vertical="top"/>
      <protection locked="0" hidden="1"/>
    </xf>
    <xf numFmtId="168" fontId="63" fillId="48" borderId="36" xfId="5" applyNumberFormat="1" applyFont="1" applyFill="1" applyBorder="1" applyAlignment="1" applyProtection="1">
      <alignment horizontal="left" vertical="top"/>
      <protection locked="0" hidden="1"/>
    </xf>
    <xf numFmtId="176" fontId="63" fillId="48" borderId="36" xfId="0" applyNumberFormat="1" applyFont="1" applyFill="1" applyBorder="1" applyAlignment="1" applyProtection="1">
      <alignment horizontal="right" vertical="top"/>
      <protection locked="0" hidden="1"/>
    </xf>
    <xf numFmtId="0" fontId="56" fillId="0" borderId="0" xfId="0" applyFont="1" applyAlignment="1" applyProtection="1">
      <alignment horizontal="left" vertical="top"/>
      <protection locked="0" hidden="1"/>
    </xf>
    <xf numFmtId="0" fontId="82" fillId="0" borderId="94" xfId="0" applyFont="1" applyBorder="1" applyAlignment="1" applyProtection="1">
      <alignment horizontal="right" vertical="center"/>
      <protection locked="0"/>
    </xf>
    <xf numFmtId="0" fontId="56" fillId="0" borderId="95" xfId="0" applyFont="1" applyBorder="1" applyAlignment="1" applyProtection="1">
      <alignment horizontal="left" vertical="top"/>
      <protection locked="0" hidden="1"/>
    </xf>
    <xf numFmtId="0" fontId="56" fillId="0" borderId="96" xfId="0" applyFont="1" applyBorder="1" applyAlignment="1" applyProtection="1">
      <alignment horizontal="left" vertical="top"/>
      <protection locked="0" hidden="1"/>
    </xf>
    <xf numFmtId="1" fontId="56" fillId="0" borderId="0" xfId="0" applyNumberFormat="1" applyFont="1" applyAlignment="1" applyProtection="1">
      <alignment horizontal="left" vertical="top"/>
      <protection locked="0" hidden="1"/>
    </xf>
    <xf numFmtId="0" fontId="32" fillId="0" borderId="0" xfId="0" applyFont="1" applyAlignment="1" applyProtection="1">
      <alignment horizontal="left" vertical="top"/>
      <protection locked="0" hidden="1"/>
    </xf>
    <xf numFmtId="0" fontId="26" fillId="28" borderId="44" xfId="0" applyFont="1" applyFill="1" applyBorder="1" applyAlignment="1" applyProtection="1">
      <alignment horizontal="left" vertical="top"/>
      <protection locked="0" hidden="1"/>
    </xf>
    <xf numFmtId="172" fontId="26" fillId="28" borderId="44" xfId="0" applyNumberFormat="1" applyFont="1" applyFill="1" applyBorder="1" applyAlignment="1" applyProtection="1">
      <alignment vertical="top"/>
      <protection locked="0" hidden="1"/>
    </xf>
    <xf numFmtId="0" fontId="26" fillId="28" borderId="44" xfId="0" applyFont="1" applyFill="1" applyBorder="1" applyAlignment="1" applyProtection="1">
      <alignment vertical="top"/>
      <protection locked="0" hidden="1"/>
    </xf>
    <xf numFmtId="0" fontId="91" fillId="28" borderId="44" xfId="0" applyFont="1" applyFill="1" applyBorder="1" applyAlignment="1" applyProtection="1">
      <alignment horizontal="left" vertical="top"/>
      <protection locked="0" hidden="1"/>
    </xf>
    <xf numFmtId="0" fontId="32" fillId="28" borderId="38" xfId="0" applyFont="1" applyFill="1" applyBorder="1" applyAlignment="1" applyProtection="1">
      <alignment horizontal="left" vertical="top"/>
      <protection locked="0" hidden="1"/>
    </xf>
    <xf numFmtId="168" fontId="26" fillId="18" borderId="39" xfId="5" applyNumberFormat="1" applyFont="1" applyFill="1" applyBorder="1" applyAlignment="1" applyProtection="1">
      <alignment horizontal="left" vertical="top"/>
      <protection locked="0" hidden="1"/>
    </xf>
    <xf numFmtId="176" fontId="63" fillId="18" borderId="39" xfId="0" applyNumberFormat="1" applyFont="1" applyFill="1" applyBorder="1" applyAlignment="1" applyProtection="1">
      <alignment horizontal="right" vertical="top"/>
      <protection locked="0" hidden="1"/>
    </xf>
    <xf numFmtId="168" fontId="63" fillId="8" borderId="39" xfId="5" applyNumberFormat="1" applyFont="1" applyFill="1" applyBorder="1" applyAlignment="1" applyProtection="1">
      <alignment horizontal="left" vertical="top"/>
      <protection locked="0" hidden="1"/>
    </xf>
    <xf numFmtId="176" fontId="63" fillId="8" borderId="36" xfId="0" applyNumberFormat="1" applyFont="1" applyFill="1" applyBorder="1" applyAlignment="1" applyProtection="1">
      <alignment horizontal="right" vertical="top"/>
      <protection locked="0" hidden="1"/>
    </xf>
    <xf numFmtId="0" fontId="26" fillId="11" borderId="44" xfId="0" applyFont="1" applyFill="1" applyBorder="1" applyAlignment="1" applyProtection="1">
      <alignment horizontal="left" vertical="top"/>
      <protection locked="0" hidden="1"/>
    </xf>
    <xf numFmtId="172" fontId="26" fillId="11" borderId="44" xfId="0" applyNumberFormat="1" applyFont="1" applyFill="1" applyBorder="1" applyAlignment="1" applyProtection="1">
      <alignment vertical="top"/>
      <protection locked="0" hidden="1"/>
    </xf>
    <xf numFmtId="0" fontId="26" fillId="11" borderId="44" xfId="0" applyFont="1" applyFill="1" applyBorder="1" applyAlignment="1" applyProtection="1">
      <alignment vertical="top"/>
      <protection locked="0" hidden="1"/>
    </xf>
    <xf numFmtId="0" fontId="108" fillId="11" borderId="44" xfId="0" applyFont="1" applyFill="1" applyBorder="1" applyAlignment="1" applyProtection="1">
      <alignment horizontal="left" vertical="top"/>
      <protection locked="0" hidden="1"/>
    </xf>
    <xf numFmtId="0" fontId="44" fillId="11" borderId="38" xfId="0" applyFont="1" applyFill="1" applyBorder="1" applyAlignment="1" applyProtection="1">
      <alignment horizontal="left" vertical="top"/>
      <protection locked="0" hidden="1"/>
    </xf>
    <xf numFmtId="168" fontId="26" fillId="34" borderId="39" xfId="5" applyNumberFormat="1" applyFont="1" applyFill="1" applyBorder="1" applyAlignment="1" applyProtection="1">
      <alignment horizontal="left" vertical="top"/>
      <protection locked="0" hidden="1"/>
    </xf>
    <xf numFmtId="176" fontId="63" fillId="34" borderId="39" xfId="0" applyNumberFormat="1" applyFont="1" applyFill="1" applyBorder="1" applyAlignment="1" applyProtection="1">
      <alignment horizontal="right" vertical="top"/>
      <protection locked="0" hidden="1"/>
    </xf>
    <xf numFmtId="168" fontId="63" fillId="48" borderId="39" xfId="5" applyNumberFormat="1" applyFont="1" applyFill="1" applyBorder="1" applyAlignment="1" applyProtection="1">
      <alignment horizontal="left" vertical="top"/>
      <protection locked="0" hidden="1"/>
    </xf>
    <xf numFmtId="176" fontId="63" fillId="48" borderId="39" xfId="0" applyNumberFormat="1" applyFont="1" applyFill="1" applyBorder="1" applyAlignment="1" applyProtection="1">
      <alignment horizontal="right" vertical="top"/>
      <protection locked="0" hidden="1"/>
    </xf>
    <xf numFmtId="0" fontId="45" fillId="0" borderId="0" xfId="0" applyFont="1" applyAlignment="1" applyProtection="1">
      <alignment horizontal="left" vertical="center"/>
      <protection locked="0" hidden="1"/>
    </xf>
    <xf numFmtId="0" fontId="56" fillId="0" borderId="94" xfId="0" applyFont="1" applyBorder="1" applyAlignment="1" applyProtection="1">
      <alignment vertical="center"/>
      <protection locked="0" hidden="1"/>
    </xf>
    <xf numFmtId="0" fontId="56" fillId="0" borderId="95" xfId="0" applyFont="1" applyBorder="1" applyAlignment="1" applyProtection="1">
      <alignment horizontal="center" vertical="center"/>
      <protection locked="0" hidden="1"/>
    </xf>
    <xf numFmtId="0" fontId="56" fillId="0" borderId="0" xfId="0" applyFont="1" applyProtection="1">
      <protection locked="0"/>
    </xf>
    <xf numFmtId="178" fontId="56" fillId="0" borderId="0" xfId="0" applyNumberFormat="1" applyFont="1" applyAlignment="1" applyProtection="1">
      <alignment vertical="center"/>
      <protection locked="0" hidden="1"/>
    </xf>
    <xf numFmtId="168" fontId="56" fillId="0" borderId="0" xfId="0" applyNumberFormat="1" applyFont="1" applyAlignment="1" applyProtection="1">
      <alignment vertical="center"/>
      <protection locked="0" hidden="1"/>
    </xf>
    <xf numFmtId="0" fontId="56" fillId="0" borderId="0" xfId="0" applyFont="1" applyAlignment="1" applyProtection="1">
      <alignment horizontal="right"/>
      <protection locked="0"/>
    </xf>
    <xf numFmtId="43" fontId="56" fillId="0" borderId="0" xfId="0" applyNumberFormat="1" applyFont="1" applyAlignment="1" applyProtection="1">
      <alignment vertical="center"/>
      <protection locked="0" hidden="1"/>
    </xf>
    <xf numFmtId="0" fontId="29" fillId="0" borderId="0" xfId="0" applyFont="1" applyAlignment="1" applyProtection="1">
      <alignment horizontal="right" vertical="center"/>
      <protection locked="0" hidden="1"/>
    </xf>
    <xf numFmtId="0" fontId="55" fillId="0" borderId="2" xfId="0" applyFont="1" applyBorder="1" applyAlignment="1" applyProtection="1">
      <alignment horizontal="left"/>
      <protection locked="0" hidden="1"/>
    </xf>
    <xf numFmtId="0" fontId="57" fillId="0" borderId="0" xfId="0" applyFont="1" applyAlignment="1" applyProtection="1">
      <alignment horizontal="right" vertical="center"/>
      <protection locked="0"/>
    </xf>
    <xf numFmtId="0" fontId="30" fillId="0" borderId="0" xfId="0" applyFont="1" applyAlignment="1" applyProtection="1">
      <alignment vertical="center"/>
      <protection locked="0" hidden="1"/>
    </xf>
    <xf numFmtId="0" fontId="59" fillId="0" borderId="8" xfId="0" applyFont="1" applyBorder="1" applyAlignment="1" applyProtection="1">
      <alignment horizontal="right"/>
      <protection locked="0" hidden="1"/>
    </xf>
    <xf numFmtId="0" fontId="55" fillId="0" borderId="8" xfId="0" applyFont="1" applyBorder="1" applyAlignment="1" applyProtection="1">
      <alignment horizontal="left"/>
      <protection locked="0" hidden="1"/>
    </xf>
    <xf numFmtId="0" fontId="60" fillId="0" borderId="8" xfId="0" applyFont="1" applyBorder="1" applyAlignment="1" applyProtection="1">
      <alignment horizontal="left"/>
      <protection locked="0" hidden="1"/>
    </xf>
    <xf numFmtId="0" fontId="61" fillId="0" borderId="0" xfId="0" applyFont="1" applyProtection="1">
      <protection locked="0" hidden="1"/>
    </xf>
    <xf numFmtId="0" fontId="32" fillId="18" borderId="0" xfId="0" applyFont="1" applyFill="1" applyAlignment="1" applyProtection="1">
      <alignment horizontal="left" vertical="center"/>
      <protection locked="0" hidden="1"/>
    </xf>
    <xf numFmtId="0" fontId="63" fillId="18" borderId="0" xfId="0" applyFont="1" applyFill="1" applyAlignment="1" applyProtection="1">
      <alignment horizontal="left" vertical="center"/>
      <protection locked="0" hidden="1"/>
    </xf>
    <xf numFmtId="0" fontId="26" fillId="18" borderId="0" xfId="0" applyFont="1" applyFill="1" applyAlignment="1" applyProtection="1">
      <alignment horizontal="left" vertical="center"/>
      <protection locked="0" hidden="1"/>
    </xf>
    <xf numFmtId="0" fontId="32" fillId="0" borderId="0" xfId="0" applyFont="1" applyAlignment="1" applyProtection="1">
      <alignment horizontal="center"/>
      <protection locked="0" hidden="1"/>
    </xf>
    <xf numFmtId="0" fontId="26" fillId="0" borderId="0" xfId="0" applyFont="1" applyAlignment="1" applyProtection="1">
      <alignment vertical="center"/>
      <protection locked="0" hidden="1"/>
    </xf>
    <xf numFmtId="0" fontId="32" fillId="0" borderId="0" xfId="0" applyFont="1" applyAlignment="1" applyProtection="1">
      <alignment horizontal="right" vertical="top"/>
      <protection locked="0"/>
    </xf>
    <xf numFmtId="0" fontId="32" fillId="5" borderId="39" xfId="1" applyFont="1" applyFill="1" applyBorder="1" applyProtection="1">
      <alignment vertical="center"/>
      <protection locked="0"/>
    </xf>
    <xf numFmtId="0" fontId="26" fillId="18" borderId="0" xfId="0" applyFont="1" applyFill="1" applyAlignment="1" applyProtection="1">
      <alignment vertical="center"/>
      <protection locked="0" hidden="1"/>
    </xf>
    <xf numFmtId="0" fontId="26" fillId="18" borderId="0" xfId="0" applyFont="1" applyFill="1" applyAlignment="1" applyProtection="1">
      <alignment horizontal="right" vertical="center"/>
      <protection locked="0" hidden="1"/>
    </xf>
    <xf numFmtId="0" fontId="64" fillId="5" borderId="0" xfId="0" applyFont="1" applyFill="1" applyAlignment="1" applyProtection="1">
      <alignment horizontal="left" vertical="center"/>
      <protection locked="0" hidden="1"/>
    </xf>
    <xf numFmtId="0" fontId="54" fillId="5" borderId="0" xfId="0" applyFont="1" applyFill="1" applyAlignment="1" applyProtection="1">
      <alignment horizontal="right" vertical="center"/>
      <protection locked="0" hidden="1"/>
    </xf>
    <xf numFmtId="164" fontId="53" fillId="5" borderId="0" xfId="0" applyNumberFormat="1" applyFont="1" applyFill="1" applyAlignment="1" applyProtection="1">
      <alignment horizontal="right" vertical="center"/>
      <protection locked="0" hidden="1"/>
    </xf>
    <xf numFmtId="164" fontId="54" fillId="5" borderId="0" xfId="0" applyNumberFormat="1" applyFont="1" applyFill="1" applyAlignment="1" applyProtection="1">
      <alignment horizontal="right" vertical="center"/>
      <protection locked="0" hidden="1"/>
    </xf>
    <xf numFmtId="0" fontId="32" fillId="6" borderId="0" xfId="0" applyFont="1" applyFill="1" applyAlignment="1" applyProtection="1">
      <alignment horizontal="left" vertical="center"/>
      <protection locked="0" hidden="1"/>
    </xf>
    <xf numFmtId="0" fontId="66" fillId="6" borderId="0" xfId="1" applyFont="1" applyFill="1" applyBorder="1" applyAlignment="1" applyProtection="1">
      <alignment horizontal="left" vertical="center"/>
      <protection locked="0" hidden="1"/>
    </xf>
    <xf numFmtId="176" fontId="67" fillId="6" borderId="46" xfId="11" applyNumberFormat="1" applyFont="1" applyFill="1" applyBorder="1" applyAlignment="1" applyProtection="1">
      <alignment horizontal="right" vertical="center"/>
      <protection locked="0" hidden="1"/>
    </xf>
    <xf numFmtId="176" fontId="67" fillId="6" borderId="47" xfId="11" applyNumberFormat="1" applyFont="1" applyFill="1" applyBorder="1" applyAlignment="1" applyProtection="1">
      <alignment horizontal="right" vertical="center"/>
      <protection locked="0" hidden="1"/>
    </xf>
    <xf numFmtId="1" fontId="67" fillId="5" borderId="0" xfId="11" applyNumberFormat="1" applyFont="1" applyFill="1" applyAlignment="1" applyProtection="1">
      <alignment horizontal="right" vertical="center"/>
      <protection locked="0" hidden="1"/>
    </xf>
    <xf numFmtId="176" fontId="67" fillId="6" borderId="0" xfId="11" applyNumberFormat="1" applyFont="1" applyFill="1" applyAlignment="1" applyProtection="1">
      <alignment horizontal="right" vertical="center"/>
      <protection locked="0" hidden="1"/>
    </xf>
    <xf numFmtId="2" fontId="26" fillId="0" borderId="0" xfId="0" applyNumberFormat="1" applyFont="1" applyAlignment="1" applyProtection="1">
      <alignment vertical="center"/>
      <protection locked="0" hidden="1"/>
    </xf>
    <xf numFmtId="176" fontId="67" fillId="0" borderId="46" xfId="11" applyNumberFormat="1" applyFont="1" applyBorder="1" applyAlignment="1" applyProtection="1">
      <alignment horizontal="right" vertical="center"/>
      <protection locked="0" hidden="1"/>
    </xf>
    <xf numFmtId="176" fontId="67" fillId="0" borderId="47" xfId="11" applyNumberFormat="1" applyFont="1" applyBorder="1" applyAlignment="1" applyProtection="1">
      <alignment horizontal="right" vertical="center"/>
      <protection locked="0" hidden="1"/>
    </xf>
    <xf numFmtId="1" fontId="67" fillId="5" borderId="0" xfId="11" applyNumberFormat="1" applyFont="1" applyFill="1" applyAlignment="1" applyProtection="1">
      <alignment vertical="center"/>
      <protection locked="0" hidden="1"/>
    </xf>
    <xf numFmtId="176" fontId="67" fillId="0" borderId="0" xfId="11" applyNumberFormat="1" applyFont="1" applyAlignment="1" applyProtection="1">
      <alignment horizontal="right" vertical="center"/>
      <protection locked="0" hidden="1"/>
    </xf>
    <xf numFmtId="0" fontId="62" fillId="18" borderId="0" xfId="0" applyFont="1" applyFill="1" applyAlignment="1" applyProtection="1">
      <alignment horizontal="left" vertical="center"/>
      <protection locked="0" hidden="1"/>
    </xf>
    <xf numFmtId="0" fontId="68" fillId="18" borderId="0" xfId="1" applyFont="1" applyFill="1" applyBorder="1" applyAlignment="1" applyProtection="1">
      <alignment horizontal="left" vertical="center"/>
      <protection locked="0" hidden="1"/>
    </xf>
    <xf numFmtId="176" fontId="69" fillId="18" borderId="46" xfId="11" applyNumberFormat="1" applyFont="1" applyFill="1" applyBorder="1" applyAlignment="1" applyProtection="1">
      <alignment horizontal="right" vertical="center"/>
      <protection locked="0" hidden="1"/>
    </xf>
    <xf numFmtId="176" fontId="69" fillId="18" borderId="47" xfId="11" applyNumberFormat="1" applyFont="1" applyFill="1" applyBorder="1" applyAlignment="1" applyProtection="1">
      <alignment horizontal="right" vertical="center"/>
      <protection locked="0" hidden="1"/>
    </xf>
    <xf numFmtId="176" fontId="69" fillId="18" borderId="0" xfId="11" applyNumberFormat="1" applyFont="1" applyFill="1" applyAlignment="1" applyProtection="1">
      <alignment horizontal="right" vertical="center"/>
      <protection locked="0" hidden="1"/>
    </xf>
    <xf numFmtId="167" fontId="67" fillId="0" borderId="0" xfId="11" applyNumberFormat="1" applyFont="1" applyAlignment="1" applyProtection="1">
      <alignment vertical="center"/>
      <protection locked="0" hidden="1"/>
    </xf>
    <xf numFmtId="14" fontId="32" fillId="5" borderId="0" xfId="0" applyNumberFormat="1" applyFont="1" applyFill="1" applyAlignment="1" applyProtection="1">
      <alignment horizontal="left" vertical="center"/>
      <protection locked="0" hidden="1"/>
    </xf>
    <xf numFmtId="14" fontId="43" fillId="0" borderId="76" xfId="0" applyNumberFormat="1" applyFont="1" applyBorder="1" applyAlignment="1" applyProtection="1">
      <alignment vertical="center" shrinkToFit="1"/>
      <protection locked="0" hidden="1"/>
    </xf>
    <xf numFmtId="0" fontId="70" fillId="0" borderId="0" xfId="0" applyFont="1" applyAlignment="1" applyProtection="1">
      <alignment horizontal="right" vertical="center"/>
      <protection locked="0" hidden="1"/>
    </xf>
    <xf numFmtId="0" fontId="71" fillId="0" borderId="0" xfId="0" applyFont="1" applyAlignment="1" applyProtection="1">
      <alignment vertical="center"/>
      <protection locked="0" hidden="1"/>
    </xf>
    <xf numFmtId="0" fontId="27" fillId="0" borderId="2" xfId="0" applyFont="1" applyBorder="1" applyAlignment="1" applyProtection="1">
      <alignment horizontal="left"/>
      <protection locked="0" hidden="1"/>
    </xf>
    <xf numFmtId="0" fontId="71" fillId="0" borderId="2" xfId="0" applyFont="1" applyBorder="1" applyAlignment="1" applyProtection="1">
      <alignment vertical="center"/>
      <protection locked="0" hidden="1"/>
    </xf>
    <xf numFmtId="0" fontId="72" fillId="0" borderId="2" xfId="0" applyFont="1" applyBorder="1" applyAlignment="1" applyProtection="1">
      <alignment vertical="center"/>
      <protection locked="0" hidden="1"/>
    </xf>
    <xf numFmtId="0" fontId="73" fillId="0" borderId="0" xfId="0" applyFont="1" applyAlignment="1" applyProtection="1">
      <alignment horizontal="right"/>
      <protection locked="0" hidden="1"/>
    </xf>
    <xf numFmtId="14" fontId="74" fillId="0" borderId="0" xfId="0" applyNumberFormat="1" applyFont="1" applyProtection="1">
      <protection locked="0" hidden="1"/>
    </xf>
    <xf numFmtId="14" fontId="32" fillId="0" borderId="0" xfId="0" applyNumberFormat="1" applyFont="1" applyProtection="1">
      <protection locked="0" hidden="1"/>
    </xf>
    <xf numFmtId="14" fontId="43" fillId="0" borderId="0" xfId="0" applyNumberFormat="1" applyFont="1" applyProtection="1">
      <protection locked="0" hidden="1"/>
    </xf>
    <xf numFmtId="0" fontId="74" fillId="0" borderId="0" xfId="0" applyFont="1" applyAlignment="1" applyProtection="1">
      <alignment vertical="center"/>
      <protection locked="0" hidden="1"/>
    </xf>
    <xf numFmtId="0" fontId="32" fillId="13" borderId="42" xfId="0" applyFont="1" applyFill="1" applyBorder="1" applyAlignment="1" applyProtection="1">
      <alignment horizontal="left" vertical="center" shrinkToFit="1"/>
      <protection locked="0" hidden="1"/>
    </xf>
    <xf numFmtId="0" fontId="43" fillId="13" borderId="42" xfId="0" applyFont="1" applyFill="1" applyBorder="1" applyAlignment="1" applyProtection="1">
      <alignment horizontal="left" vertical="center" shrinkToFit="1"/>
      <protection locked="0" hidden="1"/>
    </xf>
    <xf numFmtId="0" fontId="43" fillId="13" borderId="115" xfId="0" applyFont="1" applyFill="1" applyBorder="1" applyAlignment="1" applyProtection="1">
      <alignment horizontal="left" vertical="center" shrinkToFit="1"/>
      <protection locked="0" hidden="1"/>
    </xf>
    <xf numFmtId="0" fontId="43" fillId="0" borderId="42" xfId="0" applyFont="1" applyBorder="1" applyAlignment="1" applyProtection="1">
      <alignment horizontal="left" vertical="center" shrinkToFit="1"/>
      <protection locked="0" hidden="1"/>
    </xf>
    <xf numFmtId="0" fontId="43" fillId="0" borderId="0" xfId="0" applyFont="1" applyAlignment="1" applyProtection="1">
      <alignment vertical="center"/>
      <protection locked="0" hidden="1"/>
    </xf>
    <xf numFmtId="0" fontId="74" fillId="0" borderId="0" xfId="0" applyFont="1" applyAlignment="1" applyProtection="1">
      <alignment vertical="top"/>
      <protection locked="0" hidden="1"/>
    </xf>
    <xf numFmtId="0" fontId="32" fillId="13" borderId="43" xfId="0" applyFont="1" applyFill="1" applyBorder="1" applyAlignment="1" applyProtection="1">
      <alignment horizontal="left" vertical="top" shrinkToFit="1"/>
      <protection locked="0" hidden="1"/>
    </xf>
    <xf numFmtId="0" fontId="62" fillId="13" borderId="43" xfId="0" applyFont="1" applyFill="1" applyBorder="1" applyAlignment="1" applyProtection="1">
      <alignment horizontal="left" vertical="top" shrinkToFit="1"/>
      <protection locked="0" hidden="1"/>
    </xf>
    <xf numFmtId="0" fontId="43" fillId="13" borderId="43" xfId="0" applyFont="1" applyFill="1" applyBorder="1" applyAlignment="1" applyProtection="1">
      <alignment horizontal="left" vertical="top" shrinkToFit="1"/>
      <protection locked="0" hidden="1"/>
    </xf>
    <xf numFmtId="0" fontId="43" fillId="0" borderId="43" xfId="0" applyFont="1" applyBorder="1" applyAlignment="1" applyProtection="1">
      <alignment horizontal="left" vertical="top" shrinkToFit="1"/>
      <protection locked="0" hidden="1"/>
    </xf>
    <xf numFmtId="0" fontId="32" fillId="0" borderId="0" xfId="0" applyFont="1" applyAlignment="1" applyProtection="1">
      <alignment vertical="top"/>
      <protection locked="0" hidden="1"/>
    </xf>
    <xf numFmtId="0" fontId="43" fillId="0" borderId="44" xfId="0" applyFont="1" applyBorder="1" applyAlignment="1" applyProtection="1">
      <alignment horizontal="left" vertical="top" shrinkToFit="1"/>
      <protection locked="0" hidden="1"/>
    </xf>
    <xf numFmtId="0" fontId="75" fillId="0" borderId="0" xfId="2" applyFont="1" applyProtection="1">
      <protection locked="0" hidden="1"/>
    </xf>
    <xf numFmtId="0" fontId="76" fillId="0" borderId="0" xfId="2" applyFont="1" applyProtection="1">
      <protection locked="0" hidden="1"/>
    </xf>
    <xf numFmtId="0" fontId="77" fillId="0" borderId="0" xfId="0" applyFont="1" applyAlignment="1" applyProtection="1">
      <alignment horizontal="left" wrapText="1"/>
      <protection locked="0" hidden="1"/>
    </xf>
    <xf numFmtId="0" fontId="78" fillId="0" borderId="0" xfId="2" applyFont="1" applyAlignment="1" applyProtection="1">
      <alignment horizontal="left" vertical="center" wrapText="1"/>
      <protection locked="0" hidden="1"/>
    </xf>
    <xf numFmtId="0" fontId="37" fillId="0" borderId="0" xfId="2" applyFont="1" applyAlignment="1" applyProtection="1">
      <alignment horizontal="left" vertical="center"/>
      <protection locked="0"/>
    </xf>
    <xf numFmtId="0" fontId="37" fillId="0" borderId="0" xfId="2" applyFont="1" applyAlignment="1" applyProtection="1">
      <alignment horizontal="left" vertical="center" wrapText="1"/>
      <protection locked="0" hidden="1"/>
    </xf>
    <xf numFmtId="0" fontId="79" fillId="0" borderId="0" xfId="2" applyFont="1" applyAlignment="1" applyProtection="1">
      <alignment horizontal="left" vertical="center" wrapText="1"/>
      <protection locked="0" hidden="1"/>
    </xf>
    <xf numFmtId="0" fontId="80" fillId="0" borderId="0" xfId="0" applyFont="1" applyAlignment="1" applyProtection="1">
      <alignment horizontal="left" wrapText="1"/>
      <protection locked="0" hidden="1"/>
    </xf>
    <xf numFmtId="0" fontId="81" fillId="0" borderId="0" xfId="2" applyFont="1" applyAlignment="1" applyProtection="1">
      <alignment horizontal="left" vertical="center"/>
      <protection locked="0" hidden="1"/>
    </xf>
    <xf numFmtId="0" fontId="82" fillId="0" borderId="0" xfId="2" applyFont="1" applyAlignment="1" applyProtection="1">
      <alignment vertical="center" wrapText="1"/>
      <protection locked="0" hidden="1"/>
    </xf>
    <xf numFmtId="0" fontId="35" fillId="0" borderId="0" xfId="2" applyFont="1" applyAlignment="1" applyProtection="1">
      <alignment vertical="center" wrapText="1"/>
      <protection locked="0" hidden="1"/>
    </xf>
    <xf numFmtId="0" fontId="148" fillId="0" borderId="0" xfId="0" applyFont="1" applyAlignment="1" applyProtection="1">
      <alignment horizontal="right"/>
      <protection locked="0"/>
    </xf>
    <xf numFmtId="0" fontId="147" fillId="0" borderId="0" xfId="2" applyFont="1" applyAlignment="1" applyProtection="1">
      <alignment horizontal="left" vertical="center" wrapText="1"/>
      <protection locked="0" hidden="1"/>
    </xf>
    <xf numFmtId="0" fontId="149" fillId="0" borderId="0" xfId="2" applyFont="1" applyAlignment="1" applyProtection="1">
      <alignment horizontal="right" vertical="center" wrapText="1"/>
      <protection locked="0" hidden="1"/>
    </xf>
    <xf numFmtId="0" fontId="150" fillId="0" borderId="0" xfId="2" applyFont="1" applyAlignment="1" applyProtection="1">
      <alignment vertical="center" wrapText="1"/>
      <protection locked="0" hidden="1"/>
    </xf>
    <xf numFmtId="0" fontId="76" fillId="0" borderId="0" xfId="2" applyFont="1" applyAlignment="1" applyProtection="1">
      <alignment horizontal="center"/>
      <protection locked="0" hidden="1"/>
    </xf>
    <xf numFmtId="165" fontId="75" fillId="0" borderId="0" xfId="2" applyNumberFormat="1" applyFont="1" applyAlignment="1" applyProtection="1">
      <alignment horizontal="center"/>
      <protection locked="0" hidden="1"/>
    </xf>
    <xf numFmtId="165" fontId="75" fillId="0" borderId="1" xfId="2" applyNumberFormat="1" applyFont="1" applyBorder="1" applyAlignment="1" applyProtection="1">
      <alignment horizontal="center"/>
      <protection locked="0" hidden="1"/>
    </xf>
    <xf numFmtId="0" fontId="84" fillId="0" borderId="116" xfId="2" applyFont="1" applyBorder="1" applyAlignment="1" applyProtection="1">
      <alignment horizontal="right"/>
      <protection locked="0" hidden="1"/>
    </xf>
    <xf numFmtId="0" fontId="75" fillId="0" borderId="116" xfId="2" applyFont="1" applyBorder="1" applyProtection="1">
      <protection locked="0" hidden="1"/>
    </xf>
    <xf numFmtId="0" fontId="85" fillId="0" borderId="117" xfId="2" applyFont="1" applyBorder="1" applyAlignment="1" applyProtection="1">
      <alignment horizontal="right" indent="3"/>
      <protection locked="0" hidden="1"/>
    </xf>
    <xf numFmtId="14" fontId="68" fillId="0" borderId="116" xfId="2" applyNumberFormat="1" applyFont="1" applyBorder="1" applyAlignment="1" applyProtection="1">
      <alignment horizontal="left"/>
      <protection locked="0" hidden="1"/>
    </xf>
    <xf numFmtId="171" fontId="86" fillId="0" borderId="116" xfId="2" applyNumberFormat="1" applyFont="1" applyBorder="1" applyAlignment="1" applyProtection="1">
      <alignment horizontal="left"/>
      <protection locked="0" hidden="1"/>
    </xf>
    <xf numFmtId="0" fontId="68" fillId="0" borderId="116" xfId="2" applyFont="1" applyBorder="1" applyAlignment="1" applyProtection="1">
      <alignment horizontal="center"/>
      <protection locked="0" hidden="1"/>
    </xf>
    <xf numFmtId="9" fontId="68" fillId="0" borderId="33" xfId="15" applyFont="1" applyBorder="1" applyAlignment="1" applyProtection="1">
      <alignment horizontal="left" vertical="center"/>
      <protection locked="0" hidden="1"/>
    </xf>
    <xf numFmtId="9" fontId="141" fillId="0" borderId="116" xfId="2" applyNumberFormat="1" applyFont="1" applyBorder="1" applyAlignment="1" applyProtection="1">
      <alignment horizontal="left"/>
      <protection locked="0" hidden="1"/>
    </xf>
    <xf numFmtId="171" fontId="141" fillId="0" borderId="116" xfId="2" applyNumberFormat="1" applyFont="1" applyBorder="1" applyAlignment="1" applyProtection="1">
      <alignment horizontal="left"/>
      <protection locked="0" hidden="1"/>
    </xf>
    <xf numFmtId="0" fontId="87" fillId="0" borderId="0" xfId="2" applyFont="1" applyAlignment="1" applyProtection="1">
      <alignment horizontal="center"/>
      <protection locked="0" hidden="1"/>
    </xf>
    <xf numFmtId="0" fontId="87" fillId="0" borderId="1" xfId="2" applyFont="1" applyBorder="1" applyAlignment="1" applyProtection="1">
      <alignment horizontal="center"/>
      <protection locked="0" hidden="1"/>
    </xf>
    <xf numFmtId="0" fontId="68" fillId="0" borderId="32" xfId="2" applyFont="1" applyBorder="1" applyAlignment="1" applyProtection="1">
      <alignment horizontal="center" vertical="center" wrapText="1"/>
      <protection locked="0" hidden="1"/>
    </xf>
    <xf numFmtId="0" fontId="68" fillId="0" borderId="0" xfId="2" applyFont="1" applyAlignment="1" applyProtection="1">
      <alignment horizontal="left" vertical="center"/>
      <protection locked="0" hidden="1"/>
    </xf>
    <xf numFmtId="0" fontId="76" fillId="0" borderId="0" xfId="2" applyFont="1" applyAlignment="1" applyProtection="1">
      <alignment vertical="top"/>
      <protection locked="0" hidden="1"/>
    </xf>
    <xf numFmtId="0" fontId="68" fillId="0" borderId="35" xfId="2" applyFont="1" applyBorder="1" applyAlignment="1" applyProtection="1">
      <alignment horizontal="center" vertical="center" wrapText="1"/>
      <protection locked="0" hidden="1"/>
    </xf>
    <xf numFmtId="0" fontId="76" fillId="0" borderId="0" xfId="2" applyFont="1" applyAlignment="1" applyProtection="1">
      <alignment shrinkToFit="1"/>
      <protection locked="0" hidden="1"/>
    </xf>
    <xf numFmtId="0" fontId="68" fillId="0" borderId="0" xfId="2" applyFont="1" applyAlignment="1" applyProtection="1">
      <alignment shrinkToFit="1"/>
      <protection locked="0" hidden="1"/>
    </xf>
    <xf numFmtId="0" fontId="68" fillId="0" borderId="0" xfId="2" applyFont="1" applyProtection="1">
      <protection locked="0" hidden="1"/>
    </xf>
    <xf numFmtId="0" fontId="57" fillId="0" borderId="2" xfId="0" applyFont="1" applyBorder="1" applyAlignment="1" applyProtection="1">
      <alignment horizontal="right" vertical="center"/>
      <protection locked="0" hidden="1"/>
    </xf>
    <xf numFmtId="0" fontId="57" fillId="0" borderId="0" xfId="0" applyFont="1" applyAlignment="1" applyProtection="1">
      <alignment vertical="top"/>
      <protection locked="0" hidden="1"/>
    </xf>
    <xf numFmtId="0" fontId="73" fillId="0" borderId="0" xfId="0" applyFont="1" applyProtection="1">
      <protection locked="0" hidden="1"/>
    </xf>
    <xf numFmtId="0" fontId="90" fillId="0" borderId="7" xfId="0" applyFont="1" applyBorder="1" applyProtection="1">
      <protection locked="0" hidden="1"/>
    </xf>
    <xf numFmtId="0" fontId="27" fillId="0" borderId="7" xfId="0" applyFont="1" applyBorder="1" applyAlignment="1" applyProtection="1">
      <alignment vertical="center"/>
      <protection locked="0" hidden="1"/>
    </xf>
    <xf numFmtId="0" fontId="30" fillId="0" borderId="7" xfId="0" applyFont="1" applyBorder="1" applyAlignment="1" applyProtection="1">
      <alignment vertical="center"/>
      <protection locked="0" hidden="1"/>
    </xf>
    <xf numFmtId="0" fontId="57" fillId="0" borderId="62" xfId="0" applyFont="1" applyBorder="1" applyAlignment="1" applyProtection="1">
      <alignment horizontal="right" vertical="center"/>
      <protection locked="0"/>
    </xf>
    <xf numFmtId="0" fontId="89" fillId="0" borderId="0" xfId="0" applyFont="1" applyProtection="1">
      <protection locked="0" hidden="1"/>
    </xf>
    <xf numFmtId="0" fontId="32" fillId="4" borderId="33" xfId="0" applyFont="1" applyFill="1" applyBorder="1" applyAlignment="1" applyProtection="1">
      <alignment vertical="center" shrinkToFit="1"/>
      <protection locked="0" hidden="1"/>
    </xf>
    <xf numFmtId="14" fontId="32" fillId="4" borderId="34" xfId="0" applyNumberFormat="1" applyFont="1" applyFill="1" applyBorder="1" applyAlignment="1" applyProtection="1">
      <alignment horizontal="left" vertical="center" shrinkToFit="1"/>
      <protection locked="0" hidden="1"/>
    </xf>
    <xf numFmtId="0" fontId="73" fillId="0" borderId="0" xfId="0" applyFont="1" applyAlignment="1" applyProtection="1">
      <alignment vertical="center"/>
      <protection locked="0" hidden="1"/>
    </xf>
    <xf numFmtId="9" fontId="73" fillId="0" borderId="0" xfId="0" applyNumberFormat="1" applyFont="1" applyAlignment="1" applyProtection="1">
      <alignment vertical="center"/>
      <protection locked="0" hidden="1"/>
    </xf>
    <xf numFmtId="0" fontId="32" fillId="4" borderId="36" xfId="0" applyFont="1" applyFill="1" applyBorder="1" applyAlignment="1" applyProtection="1">
      <alignment horizontal="left" vertical="center" shrinkToFit="1"/>
      <protection locked="0" hidden="1"/>
    </xf>
    <xf numFmtId="0" fontId="32" fillId="4" borderId="37" xfId="0" applyFont="1" applyFill="1" applyBorder="1" applyAlignment="1" applyProtection="1">
      <alignment horizontal="left" vertical="center" shrinkToFit="1"/>
      <protection locked="0" hidden="1"/>
    </xf>
    <xf numFmtId="9" fontId="73" fillId="0" borderId="0" xfId="15" applyFont="1" applyFill="1" applyAlignment="1" applyProtection="1">
      <alignment vertical="center"/>
      <protection locked="0" hidden="1"/>
    </xf>
    <xf numFmtId="0" fontId="89" fillId="0" borderId="0" xfId="0" applyFont="1" applyAlignment="1" applyProtection="1">
      <alignment vertical="center"/>
      <protection locked="0" hidden="1"/>
    </xf>
    <xf numFmtId="9" fontId="73" fillId="0" borderId="0" xfId="15" applyFont="1" applyFill="1" applyProtection="1">
      <protection locked="0" hidden="1"/>
    </xf>
    <xf numFmtId="0" fontId="26" fillId="0" borderId="41" xfId="0" applyFont="1" applyBorder="1" applyAlignment="1" applyProtection="1">
      <alignment horizontal="left" vertical="center"/>
      <protection locked="0" hidden="1"/>
    </xf>
    <xf numFmtId="0" fontId="26" fillId="0" borderId="0" xfId="0" applyFont="1" applyAlignment="1" applyProtection="1">
      <alignment horizontal="left" vertical="center"/>
      <protection locked="0" hidden="1"/>
    </xf>
    <xf numFmtId="9" fontId="89" fillId="0" borderId="0" xfId="15" applyFont="1" applyFill="1" applyAlignment="1" applyProtection="1">
      <alignment vertical="center"/>
      <protection locked="0" hidden="1"/>
    </xf>
    <xf numFmtId="9" fontId="152" fillId="0" borderId="0" xfId="15" applyFont="1" applyFill="1" applyAlignment="1" applyProtection="1">
      <alignment vertical="center"/>
      <protection locked="0" hidden="1"/>
    </xf>
    <xf numFmtId="0" fontId="43" fillId="0" borderId="0" xfId="0" applyFont="1" applyAlignment="1" applyProtection="1">
      <alignment horizontal="left" vertical="top" wrapText="1"/>
      <protection locked="0"/>
    </xf>
    <xf numFmtId="0" fontId="26" fillId="8" borderId="0" xfId="0" applyFont="1" applyFill="1" applyAlignment="1" applyProtection="1">
      <alignment vertical="center"/>
      <protection locked="0" hidden="1"/>
    </xf>
    <xf numFmtId="0" fontId="91" fillId="8" borderId="0" xfId="0" applyFont="1" applyFill="1" applyAlignment="1" applyProtection="1">
      <alignment vertical="center"/>
      <protection locked="0" hidden="1"/>
    </xf>
    <xf numFmtId="0" fontId="26" fillId="0" borderId="39" xfId="1" applyFont="1" applyFill="1" applyBorder="1" applyProtection="1">
      <alignment vertical="center"/>
      <protection locked="0"/>
    </xf>
    <xf numFmtId="0" fontId="32" fillId="8" borderId="0" xfId="0" applyFont="1" applyFill="1" applyAlignment="1" applyProtection="1">
      <alignment vertical="center"/>
      <protection locked="0" hidden="1"/>
    </xf>
    <xf numFmtId="0" fontId="63" fillId="8" borderId="0" xfId="0" applyFont="1" applyFill="1" applyAlignment="1" applyProtection="1">
      <alignment vertical="center" wrapText="1"/>
      <protection locked="0" hidden="1"/>
    </xf>
    <xf numFmtId="0" fontId="91" fillId="8" borderId="0" xfId="0" applyFont="1" applyFill="1" applyAlignment="1" applyProtection="1">
      <alignment horizontal="left" vertical="center" indent="9"/>
      <protection locked="0" hidden="1"/>
    </xf>
    <xf numFmtId="0" fontId="26" fillId="8" borderId="0" xfId="0" applyFont="1" applyFill="1" applyAlignment="1" applyProtection="1">
      <alignment horizontal="left" vertical="center"/>
      <protection locked="0" hidden="1"/>
    </xf>
    <xf numFmtId="0" fontId="32" fillId="8" borderId="0" xfId="0" applyFont="1" applyFill="1" applyAlignment="1" applyProtection="1">
      <alignment horizontal="right" vertical="center" indent="4"/>
      <protection locked="0" hidden="1"/>
    </xf>
    <xf numFmtId="14" fontId="26" fillId="0" borderId="0" xfId="0" applyNumberFormat="1" applyFont="1" applyAlignment="1" applyProtection="1">
      <alignment horizontal="right" vertical="center"/>
      <protection locked="0" hidden="1"/>
    </xf>
    <xf numFmtId="164" fontId="32" fillId="5" borderId="0" xfId="0" applyNumberFormat="1" applyFont="1" applyFill="1" applyAlignment="1" applyProtection="1">
      <alignment horizontal="right" vertical="center"/>
      <protection locked="0" hidden="1"/>
    </xf>
    <xf numFmtId="0" fontId="26" fillId="0" borderId="0" xfId="0" applyFont="1" applyAlignment="1" applyProtection="1">
      <alignment horizontal="right" vertical="center"/>
      <protection locked="0" hidden="1"/>
    </xf>
    <xf numFmtId="0" fontId="32" fillId="3" borderId="0" xfId="0" applyFont="1" applyFill="1" applyAlignment="1" applyProtection="1">
      <alignment horizontal="left" vertical="center"/>
      <protection locked="0" hidden="1"/>
    </xf>
    <xf numFmtId="0" fontId="66" fillId="3" borderId="0" xfId="1" applyFont="1" applyFill="1" applyBorder="1" applyAlignment="1" applyProtection="1">
      <alignment horizontal="left" vertical="center"/>
      <protection locked="0" hidden="1"/>
    </xf>
    <xf numFmtId="0" fontId="26" fillId="3" borderId="0" xfId="0" applyFont="1" applyFill="1" applyAlignment="1" applyProtection="1">
      <alignment vertical="center"/>
      <protection locked="0" hidden="1"/>
    </xf>
    <xf numFmtId="4" fontId="67" fillId="3" borderId="0" xfId="11" applyNumberFormat="1" applyFont="1" applyFill="1" applyAlignment="1" applyProtection="1">
      <alignment horizontal="right" vertical="center"/>
      <protection locked="0" hidden="1"/>
    </xf>
    <xf numFmtId="4" fontId="26" fillId="0" borderId="77" xfId="0" applyNumberFormat="1" applyFont="1" applyBorder="1" applyAlignment="1" applyProtection="1">
      <alignment horizontal="right" vertical="center"/>
      <protection locked="0" hidden="1"/>
    </xf>
    <xf numFmtId="4" fontId="67" fillId="0" borderId="75" xfId="11" applyNumberFormat="1" applyFont="1" applyBorder="1" applyAlignment="1" applyProtection="1">
      <alignment horizontal="right" vertical="center"/>
      <protection locked="0" hidden="1"/>
    </xf>
    <xf numFmtId="4" fontId="67" fillId="0" borderId="0" xfId="11" applyNumberFormat="1" applyFont="1" applyAlignment="1" applyProtection="1">
      <alignment horizontal="right" vertical="center"/>
      <protection locked="0" hidden="1"/>
    </xf>
    <xf numFmtId="4" fontId="69" fillId="0" borderId="0" xfId="11" applyNumberFormat="1" applyFont="1" applyAlignment="1" applyProtection="1">
      <alignment horizontal="right" vertical="center"/>
      <protection locked="0" hidden="1"/>
    </xf>
    <xf numFmtId="0" fontId="32" fillId="8" borderId="0" xfId="0" applyFont="1" applyFill="1" applyAlignment="1" applyProtection="1">
      <alignment horizontal="left" vertical="center"/>
      <protection locked="0" hidden="1"/>
    </xf>
    <xf numFmtId="0" fontId="68" fillId="8" borderId="0" xfId="1" applyFont="1" applyFill="1" applyBorder="1" applyAlignment="1" applyProtection="1">
      <alignment horizontal="left" vertical="center"/>
      <protection locked="0" hidden="1"/>
    </xf>
    <xf numFmtId="4" fontId="69" fillId="8" borderId="0" xfId="11" applyNumberFormat="1" applyFont="1" applyFill="1" applyAlignment="1" applyProtection="1">
      <alignment horizontal="right" vertical="center"/>
      <protection locked="0" hidden="1"/>
    </xf>
    <xf numFmtId="167" fontId="69" fillId="0" borderId="0" xfId="11" applyNumberFormat="1" applyFont="1" applyAlignment="1" applyProtection="1">
      <alignment vertical="center"/>
      <protection locked="0" hidden="1"/>
    </xf>
    <xf numFmtId="0" fontId="43" fillId="0" borderId="0" xfId="0" quotePrefix="1" applyFont="1" applyAlignment="1" applyProtection="1">
      <alignment horizontal="left" vertical="center" wrapText="1"/>
      <protection locked="0" hidden="1"/>
    </xf>
    <xf numFmtId="0" fontId="130" fillId="0" borderId="63" xfId="0" applyFont="1" applyBorder="1" applyProtection="1">
      <protection locked="0" hidden="1"/>
    </xf>
    <xf numFmtId="0" fontId="27" fillId="0" borderId="63" xfId="0" applyFont="1" applyBorder="1" applyAlignment="1" applyProtection="1">
      <alignment vertical="center"/>
      <protection locked="0" hidden="1"/>
    </xf>
    <xf numFmtId="0" fontId="30" fillId="0" borderId="63" xfId="0" applyFont="1" applyBorder="1" applyAlignment="1" applyProtection="1">
      <alignment vertical="center"/>
      <protection locked="0" hidden="1"/>
    </xf>
    <xf numFmtId="0" fontId="57" fillId="0" borderId="63" xfId="0" applyFont="1" applyBorder="1" applyAlignment="1" applyProtection="1">
      <alignment horizontal="right" vertical="center"/>
      <protection locked="0"/>
    </xf>
    <xf numFmtId="0" fontId="43" fillId="4" borderId="42" xfId="0" applyFont="1" applyFill="1" applyBorder="1" applyAlignment="1" applyProtection="1">
      <alignment vertical="center" shrinkToFit="1"/>
      <protection locked="0" hidden="1"/>
    </xf>
    <xf numFmtId="14" fontId="43" fillId="4" borderId="42" xfId="0" applyNumberFormat="1" applyFont="1" applyFill="1" applyBorder="1" applyAlignment="1" applyProtection="1">
      <alignment horizontal="left" vertical="center" shrinkToFit="1"/>
      <protection locked="0" hidden="1"/>
    </xf>
    <xf numFmtId="0" fontId="62" fillId="4" borderId="43" xfId="0" applyFont="1" applyFill="1" applyBorder="1" applyAlignment="1" applyProtection="1">
      <alignment horizontal="left" vertical="center" shrinkToFit="1"/>
      <protection locked="0" hidden="1"/>
    </xf>
    <xf numFmtId="0" fontId="43" fillId="4" borderId="43" xfId="0" applyFont="1" applyFill="1" applyBorder="1" applyAlignment="1" applyProtection="1">
      <alignment horizontal="left" vertical="center" shrinkToFit="1"/>
      <protection locked="0" hidden="1"/>
    </xf>
    <xf numFmtId="0" fontId="26" fillId="7" borderId="0" xfId="0" applyFont="1" applyFill="1" applyAlignment="1" applyProtection="1">
      <alignment vertical="center"/>
      <protection locked="0" hidden="1"/>
    </xf>
    <xf numFmtId="0" fontId="43" fillId="0" borderId="0" xfId="0" applyFont="1" applyAlignment="1" applyProtection="1">
      <alignment vertical="top" wrapText="1"/>
      <protection locked="0" hidden="1"/>
    </xf>
    <xf numFmtId="0" fontId="43" fillId="0" borderId="0" xfId="0" quotePrefix="1" applyFont="1" applyAlignment="1" applyProtection="1">
      <alignment vertical="top" wrapText="1"/>
      <protection locked="0" hidden="1"/>
    </xf>
    <xf numFmtId="164" fontId="65" fillId="5" borderId="0" xfId="0" applyNumberFormat="1" applyFont="1" applyFill="1" applyAlignment="1" applyProtection="1">
      <alignment horizontal="right" vertical="center"/>
      <protection locked="0" hidden="1"/>
    </xf>
    <xf numFmtId="0" fontId="26" fillId="13" borderId="0" xfId="0" applyFont="1" applyFill="1" applyAlignment="1" applyProtection="1">
      <alignment horizontal="left" vertical="center"/>
      <protection locked="0" hidden="1"/>
    </xf>
    <xf numFmtId="0" fontId="66" fillId="13" borderId="0" xfId="1" applyFont="1" applyFill="1" applyBorder="1" applyAlignment="1" applyProtection="1">
      <alignment horizontal="left" vertical="center"/>
      <protection locked="0" hidden="1"/>
    </xf>
    <xf numFmtId="0" fontId="26" fillId="13" borderId="0" xfId="0" applyFont="1" applyFill="1" applyAlignment="1" applyProtection="1">
      <alignment vertical="center"/>
      <protection locked="0" hidden="1"/>
    </xf>
    <xf numFmtId="4" fontId="67" fillId="13" borderId="47" xfId="11" applyNumberFormat="1" applyFont="1" applyFill="1" applyBorder="1" applyAlignment="1" applyProtection="1">
      <alignment horizontal="right" vertical="center"/>
      <protection locked="0" hidden="1"/>
    </xf>
    <xf numFmtId="176" fontId="67" fillId="13" borderId="0" xfId="11" applyNumberFormat="1" applyFont="1" applyFill="1" applyAlignment="1" applyProtection="1">
      <alignment horizontal="right" vertical="center"/>
      <protection locked="0" hidden="1"/>
    </xf>
    <xf numFmtId="4" fontId="26" fillId="0" borderId="46" xfId="0" applyNumberFormat="1" applyFont="1" applyBorder="1" applyAlignment="1" applyProtection="1">
      <alignment horizontal="right" vertical="center"/>
      <protection locked="0" hidden="1"/>
    </xf>
    <xf numFmtId="4" fontId="67" fillId="0" borderId="46" xfId="11" applyNumberFormat="1" applyFont="1" applyBorder="1" applyAlignment="1" applyProtection="1">
      <alignment horizontal="right" vertical="center"/>
      <protection locked="0" hidden="1"/>
    </xf>
    <xf numFmtId="4" fontId="67" fillId="0" borderId="47" xfId="11" applyNumberFormat="1" applyFont="1" applyBorder="1" applyAlignment="1" applyProtection="1">
      <alignment horizontal="right" vertical="center"/>
      <protection locked="0" hidden="1"/>
    </xf>
    <xf numFmtId="176" fontId="69" fillId="0" borderId="0" xfId="11" applyNumberFormat="1" applyFont="1" applyAlignment="1" applyProtection="1">
      <alignment horizontal="right" vertical="center"/>
      <protection locked="0" hidden="1"/>
    </xf>
    <xf numFmtId="0" fontId="63" fillId="7" borderId="0" xfId="0" applyFont="1" applyFill="1" applyAlignment="1" applyProtection="1">
      <alignment horizontal="left" vertical="center"/>
      <protection locked="0" hidden="1"/>
    </xf>
    <xf numFmtId="0" fontId="68" fillId="7" borderId="0" xfId="1" applyFont="1" applyFill="1" applyBorder="1" applyAlignment="1" applyProtection="1">
      <alignment horizontal="left" vertical="center"/>
      <protection locked="0" hidden="1"/>
    </xf>
    <xf numFmtId="4" fontId="69" fillId="7" borderId="47" xfId="11" applyNumberFormat="1" applyFont="1" applyFill="1" applyBorder="1" applyAlignment="1" applyProtection="1">
      <alignment horizontal="right" vertical="center"/>
      <protection locked="0" hidden="1"/>
    </xf>
    <xf numFmtId="176" fontId="69" fillId="7" borderId="0" xfId="11" applyNumberFormat="1" applyFont="1" applyFill="1" applyAlignment="1" applyProtection="1">
      <alignment horizontal="right" vertical="center"/>
      <protection locked="0" hidden="1"/>
    </xf>
    <xf numFmtId="0" fontId="26" fillId="0" borderId="28" xfId="0" applyFont="1" applyBorder="1" applyAlignment="1" applyProtection="1">
      <alignment vertical="center"/>
      <protection locked="0" hidden="1"/>
    </xf>
    <xf numFmtId="0" fontId="26" fillId="0" borderId="89" xfId="0" applyFont="1" applyBorder="1" applyAlignment="1" applyProtection="1">
      <alignment vertical="center"/>
      <protection locked="0" hidden="1"/>
    </xf>
    <xf numFmtId="0" fontId="45" fillId="0" borderId="0" xfId="0" applyFont="1" applyAlignment="1" applyProtection="1">
      <alignment horizontal="left" vertical="top"/>
      <protection locked="0" hidden="1"/>
    </xf>
    <xf numFmtId="0" fontId="29" fillId="0" borderId="2" xfId="0" applyFont="1" applyBorder="1" applyAlignment="1" applyProtection="1">
      <alignment vertical="center"/>
      <protection locked="0" hidden="1"/>
    </xf>
    <xf numFmtId="0" fontId="26" fillId="0" borderId="2" xfId="0" applyFont="1" applyBorder="1" applyProtection="1">
      <protection locked="0" hidden="1"/>
    </xf>
    <xf numFmtId="0" fontId="26" fillId="0" borderId="0" xfId="0" applyFont="1" applyAlignment="1" applyProtection="1">
      <alignment vertical="top"/>
      <protection locked="0" hidden="1"/>
    </xf>
    <xf numFmtId="0" fontId="145" fillId="0" borderId="2" xfId="0" applyFont="1" applyBorder="1" applyProtection="1">
      <protection locked="0" hidden="1"/>
    </xf>
    <xf numFmtId="0" fontId="45" fillId="0" borderId="0" xfId="0" applyFont="1" applyProtection="1">
      <protection locked="0" hidden="1"/>
    </xf>
    <xf numFmtId="0" fontId="91" fillId="0" borderId="0" xfId="0" applyFont="1" applyAlignment="1" applyProtection="1">
      <alignment vertical="center"/>
      <protection locked="0" hidden="1"/>
    </xf>
    <xf numFmtId="0" fontId="146" fillId="7" borderId="0" xfId="0" applyFont="1" applyFill="1" applyAlignment="1" applyProtection="1">
      <alignment horizontal="center" vertical="center"/>
      <protection locked="0" hidden="1"/>
    </xf>
    <xf numFmtId="0" fontId="32" fillId="13" borderId="0" xfId="0" applyFont="1" applyFill="1" applyProtection="1">
      <protection locked="0" hidden="1"/>
    </xf>
    <xf numFmtId="0" fontId="32" fillId="13" borderId="97" xfId="0" applyFont="1" applyFill="1" applyBorder="1" applyProtection="1">
      <protection locked="0" hidden="1"/>
    </xf>
    <xf numFmtId="0" fontId="32" fillId="0" borderId="98" xfId="0" applyFont="1" applyBorder="1" applyProtection="1">
      <protection locked="0" hidden="1"/>
    </xf>
    <xf numFmtId="0" fontId="91" fillId="0" borderId="98" xfId="0" applyFont="1" applyBorder="1" applyAlignment="1" applyProtection="1">
      <alignment vertical="center"/>
      <protection locked="0" hidden="1"/>
    </xf>
    <xf numFmtId="0" fontId="29" fillId="0" borderId="2" xfId="0" applyFont="1" applyBorder="1" applyAlignment="1" applyProtection="1">
      <alignment vertical="center"/>
      <protection locked="0"/>
    </xf>
    <xf numFmtId="0" fontId="27" fillId="0" borderId="2" xfId="0" applyFont="1" applyBorder="1" applyProtection="1">
      <protection locked="0"/>
    </xf>
    <xf numFmtId="0" fontId="27" fillId="0" borderId="2" xfId="0" applyFont="1" applyBorder="1" applyAlignment="1" applyProtection="1">
      <alignment vertical="center"/>
      <protection locked="0"/>
    </xf>
    <xf numFmtId="172" fontId="142" fillId="0" borderId="0" xfId="0" applyNumberFormat="1" applyFont="1" applyAlignment="1" applyProtection="1">
      <alignment vertical="center"/>
      <protection locked="0"/>
    </xf>
    <xf numFmtId="172" fontId="54" fillId="0" borderId="0" xfId="0" applyNumberFormat="1" applyFont="1" applyProtection="1">
      <protection locked="0"/>
    </xf>
    <xf numFmtId="0" fontId="41" fillId="0" borderId="0" xfId="21" applyFont="1" applyAlignment="1" applyProtection="1">
      <protection locked="0" hidden="1"/>
    </xf>
    <xf numFmtId="0" fontId="32" fillId="5" borderId="0" xfId="0" applyFont="1" applyFill="1" applyProtection="1">
      <protection locked="0"/>
    </xf>
    <xf numFmtId="172" fontId="54" fillId="5" borderId="0" xfId="0" applyNumberFormat="1" applyFont="1" applyFill="1" applyProtection="1">
      <protection locked="0"/>
    </xf>
    <xf numFmtId="0" fontId="88" fillId="17" borderId="45" xfId="0" applyFont="1" applyFill="1" applyBorder="1" applyAlignment="1" applyProtection="1">
      <alignment vertical="top" wrapText="1"/>
      <protection locked="0"/>
    </xf>
    <xf numFmtId="0" fontId="88" fillId="17" borderId="46" xfId="0" applyFont="1" applyFill="1" applyBorder="1" applyAlignment="1" applyProtection="1">
      <alignment vertical="top" wrapText="1"/>
      <protection locked="0"/>
    </xf>
    <xf numFmtId="0" fontId="152" fillId="17" borderId="46" xfId="0" applyFont="1" applyFill="1" applyBorder="1" applyAlignment="1" applyProtection="1">
      <alignment vertical="top" wrapText="1"/>
      <protection locked="0"/>
    </xf>
    <xf numFmtId="0" fontId="151" fillId="17" borderId="47" xfId="0" applyFont="1" applyFill="1" applyBorder="1" applyAlignment="1" applyProtection="1">
      <alignment vertical="top" wrapText="1"/>
      <protection locked="0"/>
    </xf>
    <xf numFmtId="0" fontId="88" fillId="0" borderId="45" xfId="0" applyFont="1" applyBorder="1" applyAlignment="1" applyProtection="1">
      <alignment vertical="top" wrapText="1"/>
      <protection locked="0"/>
    </xf>
    <xf numFmtId="0" fontId="88" fillId="0" borderId="46" xfId="0" applyFont="1" applyBorder="1" applyAlignment="1" applyProtection="1">
      <alignment vertical="top" wrapText="1"/>
      <protection locked="0"/>
    </xf>
    <xf numFmtId="0" fontId="151" fillId="0" borderId="47" xfId="0" applyFont="1" applyBorder="1" applyAlignment="1" applyProtection="1">
      <alignment vertical="top" wrapText="1"/>
      <protection locked="0"/>
    </xf>
    <xf numFmtId="0" fontId="26" fillId="0" borderId="32" xfId="0" applyFont="1" applyBorder="1" applyAlignment="1" applyProtection="1">
      <alignment horizontal="center" vertical="top"/>
      <protection locked="0"/>
    </xf>
    <xf numFmtId="172" fontId="54" fillId="5" borderId="0" xfId="0" applyNumberFormat="1" applyFont="1" applyFill="1" applyProtection="1">
      <protection locked="0" hidden="1"/>
    </xf>
    <xf numFmtId="0" fontId="43" fillId="0" borderId="0" xfId="0" applyFont="1" applyProtection="1">
      <protection locked="0"/>
    </xf>
    <xf numFmtId="1" fontId="43" fillId="0" borderId="0" xfId="0" applyNumberFormat="1" applyFont="1" applyProtection="1">
      <protection locked="0"/>
    </xf>
    <xf numFmtId="0" fontId="26" fillId="0" borderId="35" xfId="0" applyFont="1" applyBorder="1" applyAlignment="1" applyProtection="1">
      <alignment horizontal="center" vertical="top"/>
      <protection locked="0"/>
    </xf>
    <xf numFmtId="0" fontId="26" fillId="0" borderId="38" xfId="0" applyFont="1" applyBorder="1" applyAlignment="1" applyProtection="1">
      <alignment horizontal="center" vertical="top"/>
      <protection locked="0"/>
    </xf>
    <xf numFmtId="0" fontId="143" fillId="5" borderId="0" xfId="0" applyFont="1" applyFill="1" applyAlignment="1" applyProtection="1">
      <alignment horizontal="left"/>
      <protection locked="0"/>
    </xf>
    <xf numFmtId="49" fontId="38" fillId="5" borderId="0" xfId="0" applyNumberFormat="1" applyFont="1" applyFill="1" applyProtection="1">
      <protection locked="0"/>
    </xf>
    <xf numFmtId="0" fontId="132" fillId="0" borderId="0" xfId="0" applyFont="1" applyAlignment="1" applyProtection="1">
      <alignment vertical="top"/>
      <protection locked="0"/>
    </xf>
    <xf numFmtId="0" fontId="144" fillId="5" borderId="0" xfId="0" applyFont="1" applyFill="1" applyProtection="1">
      <protection locked="0"/>
    </xf>
    <xf numFmtId="0" fontId="45" fillId="0" borderId="0" xfId="0" applyFont="1" applyAlignment="1" applyProtection="1">
      <alignment horizontal="left"/>
      <protection locked="0" hidden="1"/>
    </xf>
    <xf numFmtId="0" fontId="26" fillId="0" borderId="2" xfId="0" applyFont="1" applyBorder="1" applyProtection="1">
      <protection locked="0"/>
    </xf>
    <xf numFmtId="0" fontId="27" fillId="0" borderId="0" xfId="0" applyFont="1" applyAlignment="1" applyProtection="1">
      <alignment vertical="top"/>
      <protection locked="0"/>
    </xf>
    <xf numFmtId="14" fontId="67" fillId="0" borderId="0" xfId="0" applyNumberFormat="1" applyFont="1" applyAlignment="1" applyProtection="1">
      <alignment vertical="top"/>
      <protection locked="0"/>
    </xf>
    <xf numFmtId="0" fontId="32" fillId="0" borderId="0" xfId="0" applyFont="1" applyAlignment="1" applyProtection="1">
      <alignment vertical="top"/>
      <protection locked="0"/>
    </xf>
    <xf numFmtId="14" fontId="32" fillId="0" borderId="0" xfId="0" applyNumberFormat="1" applyFont="1" applyAlignment="1" applyProtection="1">
      <alignment vertical="top"/>
      <protection locked="0"/>
    </xf>
    <xf numFmtId="14" fontId="27" fillId="0" borderId="2" xfId="0" applyNumberFormat="1" applyFont="1" applyBorder="1" applyProtection="1">
      <protection locked="0" hidden="1"/>
    </xf>
    <xf numFmtId="0" fontId="27" fillId="0" borderId="0" xfId="0" applyFont="1" applyAlignment="1" applyProtection="1">
      <alignment vertical="top"/>
      <protection locked="0" hidden="1"/>
    </xf>
    <xf numFmtId="14" fontId="67" fillId="0" borderId="0" xfId="0" applyNumberFormat="1" applyFont="1" applyAlignment="1" applyProtection="1">
      <alignment vertical="top"/>
      <protection locked="0" hidden="1"/>
    </xf>
    <xf numFmtId="0" fontId="67" fillId="0" borderId="0" xfId="0" applyFont="1" applyAlignment="1" applyProtection="1">
      <alignment horizontal="center" vertical="top"/>
      <protection locked="0" hidden="1"/>
    </xf>
    <xf numFmtId="14" fontId="32" fillId="0" borderId="0" xfId="0" applyNumberFormat="1" applyFont="1" applyAlignment="1" applyProtection="1">
      <alignment vertical="top"/>
      <protection locked="0" hidden="1"/>
    </xf>
    <xf numFmtId="0" fontId="32" fillId="0" borderId="0" xfId="0" applyFont="1" applyAlignment="1" applyProtection="1">
      <alignment horizontal="center" vertical="top"/>
      <protection locked="0" hidden="1"/>
    </xf>
    <xf numFmtId="0" fontId="164" fillId="0" borderId="0" xfId="30" applyFont="1" applyProtection="1">
      <alignment horizontal="left" vertical="center" wrapText="1" indent="1"/>
      <protection locked="0"/>
    </xf>
    <xf numFmtId="0" fontId="165" fillId="0" borderId="0" xfId="31" applyFont="1" applyFill="1" applyAlignment="1" applyProtection="1">
      <alignment horizontal="left" vertical="center"/>
      <protection locked="0"/>
    </xf>
    <xf numFmtId="0" fontId="166" fillId="0" borderId="0" xfId="32" applyFont="1" applyFill="1" applyProtection="1">
      <alignment horizontal="left" vertical="center" indent="2"/>
      <protection locked="0"/>
    </xf>
    <xf numFmtId="0" fontId="39" fillId="0" borderId="0" xfId="30" applyFont="1" applyProtection="1">
      <alignment horizontal="left" vertical="center" wrapText="1" indent="1"/>
      <protection locked="0"/>
    </xf>
    <xf numFmtId="14" fontId="27" fillId="0" borderId="2" xfId="0" applyNumberFormat="1" applyFont="1" applyBorder="1" applyProtection="1">
      <protection locked="0"/>
    </xf>
    <xf numFmtId="0" fontId="30" fillId="0" borderId="2" xfId="0" applyFont="1" applyBorder="1" applyAlignment="1" applyProtection="1">
      <alignment vertical="center"/>
      <protection locked="0"/>
    </xf>
    <xf numFmtId="0" fontId="67" fillId="0" borderId="0" xfId="0" applyFont="1" applyAlignment="1" applyProtection="1">
      <alignment horizontal="center" vertical="top"/>
      <protection locked="0"/>
    </xf>
    <xf numFmtId="0" fontId="32" fillId="0" borderId="0" xfId="0" applyFont="1" applyAlignment="1" applyProtection="1">
      <alignment horizontal="center" vertical="top"/>
      <protection locked="0"/>
    </xf>
    <xf numFmtId="0" fontId="154" fillId="36" borderId="46" xfId="0" applyFont="1" applyFill="1" applyBorder="1" applyAlignment="1" applyProtection="1">
      <alignment vertical="center"/>
      <protection locked="0"/>
    </xf>
    <xf numFmtId="0" fontId="26" fillId="0" borderId="0" xfId="11" applyFont="1" applyProtection="1">
      <protection locked="0" hidden="1"/>
    </xf>
    <xf numFmtId="0" fontId="27" fillId="0" borderId="0" xfId="11" applyFont="1" applyAlignment="1" applyProtection="1">
      <alignment vertical="center"/>
      <protection locked="0" hidden="1"/>
    </xf>
    <xf numFmtId="0" fontId="27" fillId="0" borderId="2" xfId="11" applyFont="1" applyBorder="1" applyAlignment="1" applyProtection="1">
      <alignment vertical="center"/>
      <protection locked="0" hidden="1"/>
    </xf>
    <xf numFmtId="0" fontId="30" fillId="0" borderId="2" xfId="11" applyFont="1" applyBorder="1" applyAlignment="1" applyProtection="1">
      <alignment vertical="center"/>
      <protection locked="0" hidden="1"/>
    </xf>
    <xf numFmtId="0" fontId="27" fillId="0" borderId="2" xfId="11" applyFont="1" applyBorder="1" applyProtection="1">
      <protection locked="0" hidden="1"/>
    </xf>
    <xf numFmtId="0" fontId="27" fillId="5" borderId="0" xfId="11" applyFont="1" applyFill="1" applyAlignment="1" applyProtection="1">
      <alignment vertical="center"/>
      <protection locked="0" hidden="1"/>
    </xf>
    <xf numFmtId="0" fontId="67" fillId="14" borderId="0" xfId="11" applyFont="1" applyFill="1" applyProtection="1">
      <protection locked="0" hidden="1"/>
    </xf>
    <xf numFmtId="0" fontId="67" fillId="0" borderId="0" xfId="11" applyFont="1" applyProtection="1">
      <protection locked="0" hidden="1"/>
    </xf>
    <xf numFmtId="0" fontId="67" fillId="14" borderId="0" xfId="11" applyFont="1" applyFill="1" applyAlignment="1" applyProtection="1">
      <alignment horizontal="left"/>
      <protection locked="0" hidden="1"/>
    </xf>
    <xf numFmtId="0" fontId="67" fillId="5" borderId="0" xfId="11" applyFont="1" applyFill="1" applyProtection="1">
      <protection locked="0" hidden="1"/>
    </xf>
    <xf numFmtId="0" fontId="41" fillId="0" borderId="0" xfId="1" applyNumberFormat="1" applyFont="1" applyBorder="1" applyAlignment="1" applyProtection="1">
      <protection locked="0" hidden="1"/>
    </xf>
    <xf numFmtId="0" fontId="67" fillId="0" borderId="0" xfId="11" applyFont="1" applyAlignment="1" applyProtection="1">
      <alignment horizontal="left"/>
      <protection locked="0" hidden="1"/>
    </xf>
    <xf numFmtId="0" fontId="67" fillId="0" borderId="14" xfId="11" applyFont="1" applyBorder="1" applyProtection="1">
      <protection locked="0" hidden="1"/>
    </xf>
    <xf numFmtId="0" fontId="67" fillId="0" borderId="30" xfId="11" applyFont="1" applyBorder="1" applyProtection="1">
      <protection locked="0" hidden="1"/>
    </xf>
    <xf numFmtId="0" fontId="67" fillId="0" borderId="16" xfId="11" applyFont="1" applyBorder="1" applyProtection="1">
      <protection locked="0" hidden="1"/>
    </xf>
    <xf numFmtId="0" fontId="67" fillId="0" borderId="17" xfId="11" applyFont="1" applyBorder="1" applyAlignment="1" applyProtection="1">
      <alignment vertical="center"/>
      <protection locked="0" hidden="1"/>
    </xf>
    <xf numFmtId="0" fontId="67" fillId="16" borderId="0" xfId="11" applyFont="1" applyFill="1" applyProtection="1">
      <protection locked="0" hidden="1"/>
    </xf>
    <xf numFmtId="0" fontId="67" fillId="14" borderId="0" xfId="11" applyFont="1" applyFill="1" applyAlignment="1" applyProtection="1">
      <alignment vertical="center"/>
      <protection locked="0" hidden="1"/>
    </xf>
    <xf numFmtId="0" fontId="67" fillId="0" borderId="0" xfId="11" applyFont="1" applyAlignment="1" applyProtection="1">
      <alignment vertical="center"/>
      <protection locked="0" hidden="1"/>
    </xf>
    <xf numFmtId="0" fontId="139" fillId="17" borderId="0" xfId="11" applyFont="1" applyFill="1" applyAlignment="1" applyProtection="1">
      <alignment vertical="center"/>
      <protection locked="0" hidden="1"/>
    </xf>
    <xf numFmtId="0" fontId="139" fillId="17" borderId="0" xfId="11" applyFont="1" applyFill="1" applyProtection="1">
      <protection locked="0" hidden="1"/>
    </xf>
    <xf numFmtId="0" fontId="139" fillId="17" borderId="0" xfId="11" applyFont="1" applyFill="1" applyAlignment="1" applyProtection="1">
      <alignment horizontal="right" vertical="center"/>
      <protection locked="0" hidden="1"/>
    </xf>
    <xf numFmtId="0" fontId="139" fillId="17" borderId="0" xfId="11" applyFont="1" applyFill="1" applyAlignment="1" applyProtection="1">
      <alignment horizontal="right"/>
      <protection locked="0" hidden="1"/>
    </xf>
    <xf numFmtId="0" fontId="139" fillId="17" borderId="0" xfId="11" applyFont="1" applyFill="1" applyAlignment="1" applyProtection="1">
      <alignment horizontal="left" vertical="center"/>
      <protection locked="0" hidden="1"/>
    </xf>
    <xf numFmtId="0" fontId="139" fillId="17" borderId="0" xfId="11" applyFont="1" applyFill="1" applyAlignment="1" applyProtection="1">
      <alignment horizontal="left"/>
      <protection locked="0" hidden="1"/>
    </xf>
    <xf numFmtId="0" fontId="54" fillId="0" borderId="0" xfId="11" applyFont="1" applyAlignment="1" applyProtection="1">
      <alignment vertical="center"/>
      <protection locked="0" hidden="1"/>
    </xf>
    <xf numFmtId="0" fontId="76" fillId="0" borderId="0" xfId="11" applyFont="1" applyAlignment="1" applyProtection="1">
      <alignment vertical="center"/>
      <protection locked="0" hidden="1"/>
    </xf>
    <xf numFmtId="0" fontId="54" fillId="0" borderId="19" xfId="11" applyFont="1" applyBorder="1" applyAlignment="1" applyProtection="1">
      <alignment vertical="center"/>
      <protection locked="0" hidden="1"/>
    </xf>
    <xf numFmtId="0" fontId="54" fillId="0" borderId="0" xfId="11" applyFont="1" applyProtection="1">
      <protection locked="0" hidden="1"/>
    </xf>
    <xf numFmtId="4" fontId="54" fillId="0" borderId="19" xfId="11" applyNumberFormat="1" applyFont="1" applyBorder="1" applyAlignment="1" applyProtection="1">
      <alignment vertical="center"/>
      <protection locked="0" hidden="1"/>
    </xf>
    <xf numFmtId="4" fontId="54" fillId="0" borderId="0" xfId="11" applyNumberFormat="1" applyFont="1" applyProtection="1">
      <protection locked="0" hidden="1"/>
    </xf>
    <xf numFmtId="0" fontId="140" fillId="0" borderId="19" xfId="11" applyFont="1" applyBorder="1" applyAlignment="1" applyProtection="1">
      <alignment vertical="center"/>
      <protection locked="0" hidden="1"/>
    </xf>
    <xf numFmtId="0" fontId="140" fillId="0" borderId="0" xfId="11" applyFont="1" applyProtection="1">
      <protection locked="0" hidden="1"/>
    </xf>
    <xf numFmtId="4" fontId="140" fillId="0" borderId="19" xfId="11" applyNumberFormat="1" applyFont="1" applyBorder="1" applyAlignment="1" applyProtection="1">
      <alignment vertical="center"/>
      <protection locked="0" hidden="1"/>
    </xf>
    <xf numFmtId="4" fontId="140" fillId="0" borderId="0" xfId="11" applyNumberFormat="1" applyFont="1" applyProtection="1">
      <protection locked="0" hidden="1"/>
    </xf>
    <xf numFmtId="0" fontId="67" fillId="0" borderId="22" xfId="11" applyFont="1" applyBorder="1" applyAlignment="1" applyProtection="1">
      <alignment vertical="center"/>
      <protection locked="0" hidden="1"/>
    </xf>
    <xf numFmtId="0" fontId="67" fillId="0" borderId="23" xfId="11" applyFont="1" applyBorder="1" applyAlignment="1" applyProtection="1">
      <alignment vertical="center"/>
      <protection locked="0" hidden="1"/>
    </xf>
    <xf numFmtId="0" fontId="67" fillId="15" borderId="0" xfId="11" applyFont="1" applyFill="1" applyAlignment="1" applyProtection="1">
      <alignment vertical="center"/>
      <protection locked="0" hidden="1"/>
    </xf>
    <xf numFmtId="0" fontId="67" fillId="20" borderId="0" xfId="11" applyFont="1" applyFill="1" applyAlignment="1" applyProtection="1">
      <alignment vertical="center"/>
      <protection locked="0" hidden="1"/>
    </xf>
    <xf numFmtId="0" fontId="67" fillId="0" borderId="15" xfId="11" applyFont="1" applyBorder="1" applyAlignment="1" applyProtection="1">
      <alignment vertical="center"/>
      <protection locked="0" hidden="1"/>
    </xf>
    <xf numFmtId="0" fontId="54" fillId="0" borderId="25" xfId="11" applyFont="1" applyBorder="1" applyAlignment="1" applyProtection="1">
      <alignment vertical="center"/>
      <protection locked="0" hidden="1"/>
    </xf>
    <xf numFmtId="0" fontId="54" fillId="0" borderId="24" xfId="11" applyFont="1" applyBorder="1" applyProtection="1">
      <protection locked="0" hidden="1"/>
    </xf>
    <xf numFmtId="4" fontId="54" fillId="0" borderId="25" xfId="11" applyNumberFormat="1" applyFont="1" applyBorder="1" applyAlignment="1" applyProtection="1">
      <alignment vertical="center"/>
      <protection locked="0" hidden="1"/>
    </xf>
    <xf numFmtId="4" fontId="54" fillId="0" borderId="24" xfId="11" applyNumberFormat="1" applyFont="1" applyBorder="1" applyProtection="1">
      <protection locked="0" hidden="1"/>
    </xf>
    <xf numFmtId="0" fontId="132" fillId="5" borderId="0" xfId="0" applyFont="1" applyFill="1" applyAlignment="1" applyProtection="1">
      <alignment vertical="top"/>
      <protection locked="0" hidden="1"/>
    </xf>
    <xf numFmtId="0" fontId="54" fillId="0" borderId="0" xfId="0" applyFont="1" applyProtection="1">
      <protection locked="0" hidden="1"/>
    </xf>
    <xf numFmtId="0" fontId="135" fillId="0" borderId="0" xfId="0" applyFont="1" applyProtection="1">
      <protection locked="0" hidden="1"/>
    </xf>
    <xf numFmtId="0" fontId="136" fillId="0" borderId="0" xfId="0" applyFont="1" applyAlignment="1" applyProtection="1">
      <alignment horizontal="right" vertical="center"/>
      <protection locked="0" hidden="1"/>
    </xf>
    <xf numFmtId="0" fontId="52" fillId="0" borderId="0" xfId="0" applyFont="1" applyProtection="1">
      <protection locked="0" hidden="1"/>
    </xf>
    <xf numFmtId="0" fontId="32" fillId="0" borderId="0" xfId="0" applyFont="1" applyAlignment="1" applyProtection="1">
      <alignment horizontal="left" indent="2"/>
      <protection locked="0" hidden="1"/>
    </xf>
    <xf numFmtId="0" fontId="136" fillId="0" borderId="0" xfId="0" applyFont="1" applyAlignment="1" applyProtection="1">
      <alignment horizontal="justify" vertical="center"/>
      <protection locked="0" hidden="1"/>
    </xf>
    <xf numFmtId="0" fontId="137" fillId="0" borderId="0" xfId="0" applyFont="1" applyAlignment="1" applyProtection="1">
      <alignment horizontal="justify" vertical="center"/>
      <protection locked="0" hidden="1"/>
    </xf>
    <xf numFmtId="0" fontId="132" fillId="0" borderId="0" xfId="0" applyFont="1" applyProtection="1">
      <protection locked="0" hidden="1"/>
    </xf>
    <xf numFmtId="0" fontId="55" fillId="0" borderId="2" xfId="0" applyFont="1" applyBorder="1" applyAlignment="1" applyProtection="1">
      <alignment vertical="center"/>
      <protection locked="0" hidden="1"/>
    </xf>
    <xf numFmtId="0" fontId="67" fillId="0" borderId="0" xfId="0" applyFont="1" applyAlignment="1" applyProtection="1">
      <alignment vertical="top"/>
      <protection locked="0"/>
    </xf>
    <xf numFmtId="0" fontId="89" fillId="0" borderId="0" xfId="0" applyFont="1" applyProtection="1">
      <protection locked="0"/>
    </xf>
    <xf numFmtId="0" fontId="34" fillId="5" borderId="0" xfId="0" applyFont="1" applyFill="1" applyAlignment="1" applyProtection="1">
      <alignment horizontal="center" vertical="center"/>
      <protection locked="0"/>
    </xf>
    <xf numFmtId="0" fontId="107" fillId="36" borderId="32" xfId="0" applyFont="1" applyFill="1" applyBorder="1" applyAlignment="1" applyProtection="1">
      <alignment horizontal="left" vertical="center"/>
      <protection locked="0"/>
    </xf>
    <xf numFmtId="0" fontId="79" fillId="36" borderId="33" xfId="0" applyFont="1" applyFill="1" applyBorder="1" applyAlignment="1" applyProtection="1">
      <alignment horizontal="center" vertical="center" textRotation="90"/>
      <protection locked="0"/>
    </xf>
    <xf numFmtId="0" fontId="83" fillId="36" borderId="33" xfId="0" applyFont="1" applyFill="1" applyBorder="1" applyAlignment="1" applyProtection="1">
      <alignment horizontal="left" vertical="center"/>
      <protection locked="0"/>
    </xf>
    <xf numFmtId="0" fontId="89" fillId="36" borderId="33" xfId="0" applyFont="1" applyFill="1" applyBorder="1" applyAlignment="1" applyProtection="1">
      <alignment horizontal="center" vertical="center"/>
      <protection locked="0"/>
    </xf>
    <xf numFmtId="0" fontId="83" fillId="36" borderId="34" xfId="0" applyFont="1" applyFill="1" applyBorder="1" applyAlignment="1" applyProtection="1">
      <alignment horizontal="left" vertical="center"/>
      <protection locked="0"/>
    </xf>
    <xf numFmtId="0" fontId="34" fillId="5" borderId="0" xfId="0" applyFont="1" applyFill="1" applyAlignment="1" applyProtection="1">
      <alignment horizontal="center" vertical="top"/>
      <protection locked="0"/>
    </xf>
    <xf numFmtId="0" fontId="134" fillId="5" borderId="35" xfId="18" applyFont="1" applyFill="1" applyBorder="1" applyAlignment="1" applyProtection="1">
      <alignment horizontal="left" vertical="top" wrapText="1"/>
      <protection locked="0"/>
    </xf>
    <xf numFmtId="0" fontId="134" fillId="5" borderId="36" xfId="18" applyFont="1" applyFill="1" applyBorder="1" applyAlignment="1" applyProtection="1">
      <alignment horizontal="center" vertical="top" wrapText="1"/>
      <protection locked="0"/>
    </xf>
    <xf numFmtId="0" fontId="134" fillId="5" borderId="36" xfId="18" applyFont="1" applyFill="1" applyBorder="1" applyAlignment="1" applyProtection="1">
      <alignment horizontal="left" vertical="top" wrapText="1"/>
      <protection locked="0"/>
    </xf>
    <xf numFmtId="0" fontId="26" fillId="5" borderId="36" xfId="18" applyFont="1" applyFill="1" applyBorder="1" applyAlignment="1" applyProtection="1">
      <alignment horizontal="center" vertical="top" wrapText="1"/>
      <protection locked="0"/>
    </xf>
    <xf numFmtId="0" fontId="26" fillId="0" borderId="37" xfId="0" applyFont="1" applyBorder="1" applyProtection="1">
      <protection locked="0"/>
    </xf>
    <xf numFmtId="0" fontId="26" fillId="5" borderId="0" xfId="0" applyFont="1" applyFill="1" applyAlignment="1" applyProtection="1">
      <alignment horizontal="center"/>
      <protection locked="0"/>
    </xf>
    <xf numFmtId="0" fontId="26" fillId="0" borderId="0" xfId="0" applyFont="1" applyAlignment="1" applyProtection="1">
      <alignment horizontal="left"/>
      <protection locked="0"/>
    </xf>
    <xf numFmtId="0" fontId="26" fillId="0" borderId="0" xfId="0" applyFont="1" applyAlignment="1" applyProtection="1">
      <alignment horizontal="center"/>
      <protection locked="0"/>
    </xf>
    <xf numFmtId="14" fontId="155" fillId="0" borderId="2" xfId="0" applyNumberFormat="1" applyFont="1" applyBorder="1" applyAlignment="1" applyProtection="1">
      <alignment vertical="center"/>
      <protection locked="0"/>
    </xf>
    <xf numFmtId="0" fontId="155" fillId="0" borderId="2" xfId="0" applyFont="1" applyBorder="1" applyAlignment="1" applyProtection="1">
      <alignment horizontal="left" vertical="center"/>
      <protection locked="0"/>
    </xf>
    <xf numFmtId="0" fontId="155" fillId="0" borderId="2" xfId="0" applyFont="1" applyBorder="1" applyAlignment="1" applyProtection="1">
      <alignment vertical="center"/>
      <protection locked="0"/>
    </xf>
    <xf numFmtId="0" fontId="91" fillId="0" borderId="2" xfId="0" applyFont="1" applyBorder="1" applyAlignment="1" applyProtection="1">
      <alignment horizontal="right" vertical="center"/>
      <protection locked="0"/>
    </xf>
    <xf numFmtId="14" fontId="26" fillId="0" borderId="0" xfId="0" applyNumberFormat="1" applyFont="1" applyAlignment="1" applyProtection="1">
      <alignment vertical="top"/>
      <protection locked="0"/>
    </xf>
    <xf numFmtId="0" fontId="155" fillId="0" borderId="0" xfId="0" applyFont="1" applyAlignment="1" applyProtection="1">
      <alignment vertical="top"/>
      <protection locked="0"/>
    </xf>
    <xf numFmtId="14" fontId="43" fillId="11" borderId="71" xfId="0" applyNumberFormat="1" applyFont="1" applyFill="1" applyBorder="1" applyAlignment="1" applyProtection="1">
      <alignment horizontal="left" vertical="center"/>
      <protection locked="0"/>
    </xf>
    <xf numFmtId="14" fontId="91" fillId="11" borderId="71" xfId="0" applyNumberFormat="1" applyFont="1" applyFill="1" applyBorder="1" applyAlignment="1" applyProtection="1">
      <alignment horizontal="left" vertical="center"/>
      <protection locked="0"/>
    </xf>
    <xf numFmtId="0" fontId="91" fillId="11" borderId="71" xfId="0" applyFont="1" applyFill="1" applyBorder="1" applyAlignment="1" applyProtection="1">
      <alignment horizontal="left" vertical="center"/>
      <protection locked="0"/>
    </xf>
    <xf numFmtId="1" fontId="0" fillId="11" borderId="71" xfId="0" applyNumberFormat="1" applyFill="1" applyBorder="1" applyAlignment="1" applyProtection="1">
      <alignment horizontal="center" vertical="center"/>
      <protection locked="0"/>
    </xf>
    <xf numFmtId="0" fontId="26" fillId="0" borderId="33" xfId="0" applyFont="1" applyBorder="1" applyAlignment="1" applyProtection="1">
      <alignment horizontal="center" vertical="center"/>
      <protection locked="0"/>
    </xf>
    <xf numFmtId="14" fontId="73" fillId="0" borderId="105" xfId="0" applyNumberFormat="1" applyFont="1" applyBorder="1" applyAlignment="1" applyProtection="1">
      <alignment horizontal="left" vertical="top" wrapText="1"/>
      <protection locked="0"/>
    </xf>
    <xf numFmtId="0" fontId="73" fillId="0" borderId="106" xfId="0" applyFont="1" applyBorder="1" applyAlignment="1" applyProtection="1">
      <alignment horizontal="left" vertical="top" wrapText="1"/>
      <protection locked="0"/>
    </xf>
    <xf numFmtId="14" fontId="73" fillId="0" borderId="106" xfId="1" applyNumberFormat="1" applyFont="1" applyFill="1" applyBorder="1" applyAlignment="1" applyProtection="1">
      <alignment horizontal="left" vertical="top" wrapText="1"/>
      <protection locked="0"/>
    </xf>
    <xf numFmtId="1" fontId="73" fillId="0" borderId="107" xfId="1" applyNumberFormat="1" applyFont="1" applyFill="1" applyBorder="1" applyAlignment="1" applyProtection="1">
      <alignment horizontal="center" vertical="top" wrapText="1"/>
      <protection locked="0"/>
    </xf>
    <xf numFmtId="0" fontId="110" fillId="0" borderId="2" xfId="0" applyFont="1" applyBorder="1" applyAlignment="1" applyProtection="1">
      <alignment vertical="center"/>
      <protection locked="0" hidden="1"/>
    </xf>
    <xf numFmtId="0" fontId="111" fillId="0" borderId="2" xfId="0" applyFont="1" applyBorder="1" applyAlignment="1" applyProtection="1">
      <alignment horizontal="left" vertical="center"/>
      <protection locked="0" hidden="1"/>
    </xf>
    <xf numFmtId="0" fontId="112" fillId="0" borderId="2" xfId="0" applyFont="1" applyBorder="1" applyAlignment="1" applyProtection="1">
      <alignment horizontal="left" vertical="center"/>
      <protection locked="0" hidden="1"/>
    </xf>
    <xf numFmtId="0" fontId="110" fillId="0" borderId="0" xfId="0" applyFont="1" applyAlignment="1" applyProtection="1">
      <alignment vertical="center"/>
      <protection locked="0" hidden="1"/>
    </xf>
    <xf numFmtId="0" fontId="111" fillId="0" borderId="0" xfId="0" applyFont="1" applyAlignment="1" applyProtection="1">
      <alignment horizontal="left" vertical="center"/>
      <protection locked="0" hidden="1"/>
    </xf>
    <xf numFmtId="0" fontId="112" fillId="0" borderId="0" xfId="0" applyFont="1" applyAlignment="1" applyProtection="1">
      <alignment horizontal="left" vertical="center"/>
      <protection locked="0" hidden="1"/>
    </xf>
    <xf numFmtId="0" fontId="113" fillId="0" borderId="0" xfId="0" applyFont="1" applyAlignment="1" applyProtection="1">
      <alignment horizontal="left" vertical="center"/>
      <protection locked="0" hidden="1"/>
    </xf>
    <xf numFmtId="0" fontId="114" fillId="0" borderId="0" xfId="0" applyFont="1" applyAlignment="1" applyProtection="1">
      <alignment horizontal="left"/>
      <protection locked="0" hidden="1"/>
    </xf>
    <xf numFmtId="0" fontId="115" fillId="0" borderId="0" xfId="0" applyFont="1" applyAlignment="1" applyProtection="1">
      <alignment textRotation="90"/>
      <protection locked="0"/>
    </xf>
    <xf numFmtId="0" fontId="58" fillId="0" borderId="0" xfId="0" applyFont="1" applyAlignment="1" applyProtection="1">
      <alignment textRotation="90"/>
      <protection locked="0"/>
    </xf>
    <xf numFmtId="0" fontId="116" fillId="0" borderId="0" xfId="0" applyFont="1" applyAlignment="1" applyProtection="1">
      <alignment textRotation="90"/>
      <protection locked="0"/>
    </xf>
    <xf numFmtId="0" fontId="117" fillId="0" borderId="0" xfId="0" applyFont="1" applyAlignment="1" applyProtection="1">
      <alignment horizontal="center" vertical="center"/>
      <protection locked="0"/>
    </xf>
    <xf numFmtId="0" fontId="58" fillId="0" borderId="0" xfId="0" applyFont="1" applyProtection="1">
      <protection locked="0"/>
    </xf>
    <xf numFmtId="0" fontId="118" fillId="0" borderId="0" xfId="0" applyFont="1" applyAlignment="1" applyProtection="1">
      <alignment horizontal="center"/>
      <protection locked="0" hidden="1"/>
    </xf>
    <xf numFmtId="0" fontId="119" fillId="0" borderId="0" xfId="0" applyFont="1" applyAlignment="1" applyProtection="1">
      <alignment horizontal="left"/>
      <protection locked="0" hidden="1"/>
    </xf>
    <xf numFmtId="0" fontId="112" fillId="0" borderId="0" xfId="0" applyFont="1" applyAlignment="1" applyProtection="1">
      <alignment horizontal="center" vertical="center"/>
      <protection locked="0"/>
    </xf>
    <xf numFmtId="0" fontId="120" fillId="5" borderId="0" xfId="0" applyFont="1" applyFill="1" applyProtection="1">
      <protection locked="0"/>
    </xf>
    <xf numFmtId="0" fontId="115" fillId="0" borderId="0" xfId="0" applyFont="1" applyAlignment="1" applyProtection="1">
      <alignment horizontal="center" textRotation="90"/>
      <protection locked="0"/>
    </xf>
    <xf numFmtId="0" fontId="121" fillId="0" borderId="0" xfId="0" applyFont="1" applyAlignment="1" applyProtection="1">
      <alignment horizontal="center" vertical="center"/>
      <protection locked="0"/>
    </xf>
    <xf numFmtId="0" fontId="58" fillId="0" borderId="0" xfId="0" applyFont="1" applyAlignment="1" applyProtection="1">
      <alignment horizontal="center"/>
      <protection locked="0"/>
    </xf>
    <xf numFmtId="0" fontId="119" fillId="0" borderId="0" xfId="0" applyFont="1" applyAlignment="1" applyProtection="1">
      <alignment horizontal="center"/>
      <protection locked="0" hidden="1"/>
    </xf>
    <xf numFmtId="0" fontId="116" fillId="0" borderId="0" xfId="0" applyFont="1" applyAlignment="1" applyProtection="1">
      <alignment horizontal="center" textRotation="90"/>
      <protection locked="0"/>
    </xf>
    <xf numFmtId="0" fontId="122" fillId="0" borderId="0" xfId="0" applyFont="1" applyAlignment="1" applyProtection="1">
      <alignment horizontal="center" vertical="center"/>
      <protection locked="0"/>
    </xf>
    <xf numFmtId="0" fontId="58" fillId="0" borderId="0" xfId="0" applyFont="1" applyAlignment="1" applyProtection="1">
      <alignment horizontal="center" textRotation="90"/>
      <protection locked="0"/>
    </xf>
    <xf numFmtId="0" fontId="32" fillId="0" borderId="0" xfId="0" applyFont="1" applyAlignment="1" applyProtection="1">
      <alignment horizontal="center"/>
      <protection locked="0"/>
    </xf>
    <xf numFmtId="0" fontId="120" fillId="5" borderId="0" xfId="0" applyFont="1" applyFill="1" applyAlignment="1" applyProtection="1">
      <alignment horizontal="center"/>
      <protection locked="0"/>
    </xf>
    <xf numFmtId="0" fontId="26" fillId="0" borderId="32" xfId="17" applyFont="1" applyFill="1" applyBorder="1" applyAlignment="1" applyProtection="1">
      <alignment horizontal="left" vertical="top" wrapText="1"/>
      <protection locked="0"/>
    </xf>
    <xf numFmtId="0" fontId="118" fillId="4" borderId="78" xfId="16" applyFont="1" applyFill="1" applyBorder="1" applyAlignment="1" applyProtection="1">
      <alignment horizontal="left" vertical="center" wrapText="1"/>
      <protection locked="0" hidden="1"/>
    </xf>
    <xf numFmtId="0" fontId="118" fillId="4" borderId="80" xfId="16" applyFont="1" applyFill="1" applyBorder="1" applyAlignment="1" applyProtection="1">
      <alignment horizontal="left" vertical="center" wrapText="1"/>
      <protection locked="0" hidden="1"/>
    </xf>
    <xf numFmtId="0" fontId="119" fillId="4" borderId="79" xfId="16" applyFont="1" applyFill="1" applyBorder="1" applyAlignment="1" applyProtection="1">
      <alignment horizontal="left" vertical="center" wrapText="1"/>
      <protection locked="0" hidden="1"/>
    </xf>
    <xf numFmtId="0" fontId="119" fillId="4" borderId="78" xfId="16" applyFont="1" applyFill="1" applyBorder="1" applyAlignment="1" applyProtection="1">
      <alignment horizontal="left" vertical="center" wrapText="1"/>
      <protection locked="0" hidden="1"/>
    </xf>
    <xf numFmtId="1" fontId="32" fillId="0" borderId="0" xfId="0" applyNumberFormat="1" applyFont="1" applyProtection="1">
      <protection locked="0"/>
    </xf>
    <xf numFmtId="0" fontId="26" fillId="0" borderId="35" xfId="17" applyFont="1" applyFill="1" applyBorder="1" applyAlignment="1" applyProtection="1">
      <alignment horizontal="left" vertical="top" wrapText="1"/>
      <protection locked="0"/>
    </xf>
    <xf numFmtId="0" fontId="118" fillId="0" borderId="78" xfId="16" applyFont="1" applyFill="1" applyBorder="1" applyAlignment="1" applyProtection="1">
      <alignment horizontal="left" vertical="center" wrapText="1"/>
      <protection locked="0" hidden="1"/>
    </xf>
    <xf numFmtId="0" fontId="118" fillId="0" borderId="80" xfId="16" applyFont="1" applyFill="1" applyBorder="1" applyAlignment="1" applyProtection="1">
      <alignment horizontal="left" vertical="center" wrapText="1"/>
      <protection locked="0" hidden="1"/>
    </xf>
    <xf numFmtId="0" fontId="119" fillId="0" borderId="79" xfId="16" applyFont="1" applyFill="1" applyBorder="1" applyAlignment="1" applyProtection="1">
      <alignment horizontal="left" vertical="center" wrapText="1"/>
      <protection locked="0" hidden="1"/>
    </xf>
    <xf numFmtId="0" fontId="119" fillId="0" borderId="78" xfId="16" applyFont="1" applyFill="1" applyBorder="1" applyAlignment="1" applyProtection="1">
      <alignment horizontal="left" vertical="center" wrapText="1"/>
      <protection locked="0" hidden="1"/>
    </xf>
    <xf numFmtId="0" fontId="125" fillId="0" borderId="0" xfId="0" applyFont="1" applyAlignment="1" applyProtection="1">
      <alignment horizontal="center" textRotation="90"/>
      <protection locked="0"/>
    </xf>
    <xf numFmtId="0" fontId="126" fillId="0" borderId="0" xfId="0" applyFont="1" applyAlignment="1" applyProtection="1">
      <alignment horizontal="center"/>
      <protection locked="0"/>
    </xf>
    <xf numFmtId="1" fontId="73" fillId="0" borderId="0" xfId="0" applyNumberFormat="1" applyFont="1" applyAlignment="1" applyProtection="1">
      <alignment horizontal="center" vertical="top"/>
      <protection locked="0"/>
    </xf>
    <xf numFmtId="0" fontId="127" fillId="0" borderId="0" xfId="0" applyFont="1" applyAlignment="1" applyProtection="1">
      <alignment horizontal="center"/>
      <protection locked="0" hidden="1"/>
    </xf>
    <xf numFmtId="0" fontId="128" fillId="0" borderId="0" xfId="0" applyFont="1" applyAlignment="1" applyProtection="1">
      <alignment horizontal="left"/>
      <protection locked="0" hidden="1"/>
    </xf>
    <xf numFmtId="0" fontId="129" fillId="0" borderId="0" xfId="0" applyFont="1" applyAlignment="1" applyProtection="1">
      <alignment horizontal="center" textRotation="90"/>
      <protection locked="0"/>
    </xf>
    <xf numFmtId="0" fontId="130" fillId="0" borderId="0" xfId="0" applyFont="1" applyAlignment="1" applyProtection="1">
      <alignment horizontal="center"/>
      <protection locked="0"/>
    </xf>
    <xf numFmtId="0" fontId="127" fillId="4" borderId="78" xfId="16" applyFont="1" applyFill="1" applyBorder="1" applyAlignment="1" applyProtection="1">
      <alignment horizontal="left" vertical="center" wrapText="1"/>
      <protection locked="0" hidden="1"/>
    </xf>
    <xf numFmtId="0" fontId="127" fillId="4" borderId="80" xfId="16" applyFont="1" applyFill="1" applyBorder="1" applyAlignment="1" applyProtection="1">
      <alignment horizontal="left" vertical="center" wrapText="1"/>
      <protection locked="0" hidden="1"/>
    </xf>
    <xf numFmtId="0" fontId="128" fillId="4" borderId="79" xfId="16" applyFont="1" applyFill="1" applyBorder="1" applyAlignment="1" applyProtection="1">
      <alignment horizontal="left" vertical="center" wrapText="1"/>
      <protection locked="0" hidden="1"/>
    </xf>
    <xf numFmtId="0" fontId="128" fillId="4" borderId="78" xfId="16" applyFont="1" applyFill="1" applyBorder="1" applyAlignment="1" applyProtection="1">
      <alignment horizontal="left" vertical="center" wrapText="1"/>
      <protection locked="0" hidden="1"/>
    </xf>
    <xf numFmtId="0" fontId="127" fillId="0" borderId="78" xfId="16" applyFont="1" applyFill="1" applyBorder="1" applyAlignment="1" applyProtection="1">
      <alignment horizontal="left" vertical="center" wrapText="1"/>
      <protection locked="0" hidden="1"/>
    </xf>
    <xf numFmtId="0" fontId="127" fillId="0" borderId="80" xfId="16" applyFont="1" applyFill="1" applyBorder="1" applyAlignment="1" applyProtection="1">
      <alignment horizontal="left" vertical="center" wrapText="1"/>
      <protection locked="0" hidden="1"/>
    </xf>
    <xf numFmtId="0" fontId="128" fillId="0" borderId="79" xfId="16" applyFont="1" applyFill="1" applyBorder="1" applyAlignment="1" applyProtection="1">
      <alignment horizontal="left" vertical="center" wrapText="1"/>
      <protection locked="0" hidden="1"/>
    </xf>
    <xf numFmtId="0" fontId="128" fillId="0" borderId="78" xfId="16" applyFont="1" applyFill="1" applyBorder="1" applyAlignment="1" applyProtection="1">
      <alignment horizontal="left" vertical="center" wrapText="1"/>
      <protection locked="0" hidden="1"/>
    </xf>
    <xf numFmtId="1" fontId="73" fillId="0" borderId="0" xfId="0" applyNumberFormat="1" applyFont="1" applyProtection="1">
      <protection locked="0"/>
    </xf>
    <xf numFmtId="0" fontId="32" fillId="5" borderId="0" xfId="0" applyFont="1" applyFill="1" applyProtection="1">
      <protection locked="0" hidden="1"/>
    </xf>
    <xf numFmtId="0" fontId="88" fillId="17" borderId="32" xfId="0" applyFont="1" applyFill="1" applyBorder="1" applyAlignment="1" applyProtection="1">
      <alignment vertical="top" wrapText="1"/>
      <protection locked="0"/>
    </xf>
    <xf numFmtId="0" fontId="88" fillId="17" borderId="33" xfId="0" applyFont="1" applyFill="1" applyBorder="1" applyAlignment="1" applyProtection="1">
      <alignment vertical="top" wrapText="1"/>
      <protection locked="0"/>
    </xf>
    <xf numFmtId="0" fontId="152" fillId="17" borderId="33" xfId="0" applyFont="1" applyFill="1" applyBorder="1" applyAlignment="1" applyProtection="1">
      <alignment vertical="top" wrapText="1"/>
      <protection locked="0"/>
    </xf>
    <xf numFmtId="0" fontId="80" fillId="17" borderId="33" xfId="0" applyFont="1" applyFill="1" applyBorder="1" applyAlignment="1" applyProtection="1">
      <alignment vertical="top" wrapText="1"/>
      <protection locked="0"/>
    </xf>
    <xf numFmtId="0" fontId="152" fillId="17" borderId="34" xfId="0" applyFont="1" applyFill="1" applyBorder="1" applyAlignment="1" applyProtection="1">
      <alignment vertical="top" wrapText="1"/>
      <protection locked="0"/>
    </xf>
    <xf numFmtId="1" fontId="109" fillId="0" borderId="36" xfId="0" applyNumberFormat="1" applyFont="1" applyBorder="1" applyAlignment="1" applyProtection="1">
      <alignment horizontal="center" vertical="center" wrapText="1"/>
      <protection locked="0" hidden="1"/>
    </xf>
    <xf numFmtId="1" fontId="109" fillId="0" borderId="39" xfId="0" applyNumberFormat="1" applyFont="1" applyBorder="1" applyAlignment="1" applyProtection="1">
      <alignment horizontal="center" vertical="center" wrapText="1"/>
      <protection locked="0" hidden="1"/>
    </xf>
    <xf numFmtId="0" fontId="91" fillId="5" borderId="0" xfId="0" applyFont="1" applyFill="1" applyAlignment="1" applyProtection="1">
      <alignment horizontal="left" indent="12"/>
      <protection locked="0"/>
    </xf>
    <xf numFmtId="0" fontId="92" fillId="0" borderId="2" xfId="0" applyFont="1" applyBorder="1" applyAlignment="1" applyProtection="1">
      <alignment horizontal="left"/>
      <protection locked="0" hidden="1"/>
    </xf>
    <xf numFmtId="0" fontId="93" fillId="0" borderId="2" xfId="0" applyFont="1" applyBorder="1" applyAlignment="1" applyProtection="1">
      <alignment horizontal="left" vertical="center"/>
      <protection locked="0" hidden="1"/>
    </xf>
    <xf numFmtId="0" fontId="94" fillId="0" borderId="2" xfId="0" applyFont="1" applyBorder="1" applyProtection="1">
      <protection locked="0" hidden="1"/>
    </xf>
    <xf numFmtId="0" fontId="42" fillId="0" borderId="2" xfId="0" applyFont="1" applyBorder="1" applyAlignment="1" applyProtection="1">
      <alignment horizontal="right" vertical="center"/>
      <protection locked="0" hidden="1"/>
    </xf>
    <xf numFmtId="14" fontId="92" fillId="0" borderId="2" xfId="0" applyNumberFormat="1" applyFont="1" applyBorder="1" applyAlignment="1" applyProtection="1">
      <alignment horizontal="left" vertical="center"/>
      <protection locked="0" hidden="1"/>
    </xf>
    <xf numFmtId="14" fontId="93" fillId="0" borderId="2" xfId="0" applyNumberFormat="1" applyFont="1" applyBorder="1" applyAlignment="1" applyProtection="1">
      <alignment horizontal="left" vertical="center"/>
      <protection locked="0" hidden="1"/>
    </xf>
    <xf numFmtId="14" fontId="94" fillId="0" borderId="2" xfId="0" applyNumberFormat="1" applyFont="1" applyBorder="1" applyProtection="1">
      <protection locked="0" hidden="1"/>
    </xf>
    <xf numFmtId="14" fontId="57" fillId="0" borderId="2" xfId="0" applyNumberFormat="1" applyFont="1" applyBorder="1" applyAlignment="1" applyProtection="1">
      <alignment horizontal="right" vertical="center"/>
      <protection locked="0"/>
    </xf>
    <xf numFmtId="0" fontId="94" fillId="0" borderId="0" xfId="0" applyFont="1" applyProtection="1">
      <protection locked="0" hidden="1"/>
    </xf>
    <xf numFmtId="0" fontId="96" fillId="0" borderId="0" xfId="0" applyFont="1" applyProtection="1">
      <protection locked="0" hidden="1"/>
    </xf>
    <xf numFmtId="14" fontId="94" fillId="0" borderId="0" xfId="0" applyNumberFormat="1" applyFont="1" applyProtection="1">
      <protection locked="0" hidden="1"/>
    </xf>
    <xf numFmtId="14" fontId="96" fillId="0" borderId="0" xfId="0" applyNumberFormat="1" applyFont="1" applyProtection="1">
      <protection locked="0" hidden="1"/>
    </xf>
    <xf numFmtId="0" fontId="98" fillId="0" borderId="0" xfId="0" applyFont="1" applyAlignment="1" applyProtection="1">
      <alignment vertical="top"/>
      <protection locked="0" hidden="1"/>
    </xf>
    <xf numFmtId="0" fontId="99" fillId="0" borderId="0" xfId="0" applyFont="1" applyProtection="1">
      <protection locked="0" hidden="1"/>
    </xf>
    <xf numFmtId="0" fontId="32" fillId="0" borderId="51" xfId="0" applyFont="1" applyBorder="1" applyProtection="1">
      <protection locked="0" hidden="1"/>
    </xf>
    <xf numFmtId="0" fontId="101" fillId="0" borderId="0" xfId="0" applyFont="1" applyAlignment="1" applyProtection="1">
      <alignment vertical="center"/>
      <protection locked="0" hidden="1"/>
    </xf>
    <xf numFmtId="0" fontId="68" fillId="39" borderId="51" xfId="0" applyFont="1" applyFill="1" applyBorder="1" applyAlignment="1" applyProtection="1">
      <alignment horizontal="center"/>
      <protection locked="0" hidden="1"/>
    </xf>
    <xf numFmtId="0" fontId="68" fillId="39" borderId="0" xfId="0" applyFont="1" applyFill="1" applyAlignment="1" applyProtection="1">
      <alignment horizontal="center"/>
      <protection locked="0" hidden="1"/>
    </xf>
    <xf numFmtId="0" fontId="68" fillId="39" borderId="52" xfId="0" applyFont="1" applyFill="1" applyBorder="1" applyAlignment="1" applyProtection="1">
      <alignment horizontal="center"/>
      <protection locked="0" hidden="1"/>
    </xf>
    <xf numFmtId="0" fontId="98" fillId="0" borderId="51" xfId="0" applyFont="1" applyBorder="1" applyAlignment="1" applyProtection="1">
      <alignment vertical="top"/>
      <protection locked="0" hidden="1"/>
    </xf>
    <xf numFmtId="0" fontId="102" fillId="0" borderId="0" xfId="0" applyFont="1" applyAlignment="1" applyProtection="1">
      <alignment vertical="top"/>
      <protection locked="0" hidden="1"/>
    </xf>
    <xf numFmtId="14" fontId="68" fillId="39" borderId="51" xfId="0" applyNumberFormat="1" applyFont="1" applyFill="1" applyBorder="1" applyAlignment="1" applyProtection="1">
      <alignment horizontal="center"/>
      <protection locked="0" hidden="1"/>
    </xf>
    <xf numFmtId="14" fontId="68" fillId="39" borderId="0" xfId="0" applyNumberFormat="1" applyFont="1" applyFill="1" applyAlignment="1" applyProtection="1">
      <alignment horizontal="center"/>
      <protection locked="0" hidden="1"/>
    </xf>
    <xf numFmtId="14" fontId="68" fillId="39" borderId="52" xfId="0" applyNumberFormat="1" applyFont="1" applyFill="1" applyBorder="1" applyAlignment="1" applyProtection="1">
      <alignment horizontal="center"/>
      <protection locked="0" hidden="1"/>
    </xf>
    <xf numFmtId="174" fontId="68" fillId="0" borderId="53" xfId="0" applyNumberFormat="1" applyFont="1" applyBorder="1" applyAlignment="1" applyProtection="1">
      <alignment horizontal="center"/>
      <protection locked="0" hidden="1"/>
    </xf>
    <xf numFmtId="14" fontId="68" fillId="0" borderId="53" xfId="0" applyNumberFormat="1" applyFont="1" applyBorder="1" applyAlignment="1" applyProtection="1">
      <alignment horizontal="center"/>
      <protection locked="0" hidden="1"/>
    </xf>
    <xf numFmtId="0" fontId="103" fillId="0" borderId="0" xfId="0" applyFont="1" applyProtection="1">
      <protection locked="0" hidden="1"/>
    </xf>
    <xf numFmtId="0" fontId="76" fillId="0" borderId="0" xfId="0" applyFont="1" applyAlignment="1" applyProtection="1">
      <alignment horizontal="right"/>
      <protection locked="0" hidden="1"/>
    </xf>
    <xf numFmtId="14" fontId="104" fillId="0" borderId="0" xfId="19" applyNumberFormat="1" applyFont="1" applyAlignment="1" applyProtection="1">
      <protection locked="0" hidden="1"/>
    </xf>
    <xf numFmtId="14" fontId="76" fillId="0" borderId="0" xfId="0" applyNumberFormat="1" applyFont="1" applyAlignment="1" applyProtection="1">
      <alignment horizontal="right"/>
      <protection locked="0" hidden="1"/>
    </xf>
    <xf numFmtId="0" fontId="32" fillId="41" borderId="0" xfId="0" applyFont="1" applyFill="1" applyProtection="1">
      <protection locked="0"/>
    </xf>
    <xf numFmtId="0" fontId="73" fillId="41" borderId="0" xfId="0" applyFont="1" applyFill="1" applyAlignment="1" applyProtection="1">
      <alignment vertical="top"/>
      <protection locked="0"/>
    </xf>
    <xf numFmtId="0" fontId="73" fillId="41" borderId="0" xfId="0" applyFont="1" applyFill="1" applyProtection="1">
      <protection locked="0"/>
    </xf>
    <xf numFmtId="9" fontId="32" fillId="0" borderId="0" xfId="15" applyFont="1" applyProtection="1">
      <protection locked="0"/>
    </xf>
    <xf numFmtId="0" fontId="88" fillId="41" borderId="0" xfId="0" applyFont="1" applyFill="1" applyProtection="1">
      <protection locked="0"/>
    </xf>
    <xf numFmtId="0" fontId="44" fillId="0" borderId="0" xfId="0" applyFont="1" applyProtection="1">
      <protection locked="0"/>
    </xf>
    <xf numFmtId="0" fontId="43" fillId="5" borderId="41" xfId="0" applyFont="1" applyFill="1" applyBorder="1" applyAlignment="1" applyProtection="1">
      <alignment horizontal="center" vertical="center" wrapText="1"/>
      <protection locked="0"/>
    </xf>
    <xf numFmtId="1" fontId="68" fillId="5" borderId="0" xfId="11" applyNumberFormat="1" applyFont="1" applyFill="1" applyAlignment="1" applyProtection="1">
      <alignment horizontal="right" vertical="center"/>
      <protection locked="0" hidden="1"/>
    </xf>
    <xf numFmtId="1" fontId="68" fillId="5" borderId="0" xfId="11" applyNumberFormat="1" applyFont="1" applyFill="1" applyAlignment="1" applyProtection="1">
      <alignment vertical="center"/>
      <protection locked="0" hidden="1"/>
    </xf>
    <xf numFmtId="14" fontId="43" fillId="0" borderId="76" xfId="0" applyNumberFormat="1" applyFont="1" applyBorder="1" applyAlignment="1" applyProtection="1">
      <alignment horizontal="right" vertical="center"/>
      <protection locked="0" hidden="1"/>
    </xf>
    <xf numFmtId="49" fontId="32" fillId="0" borderId="74" xfId="0" applyNumberFormat="1" applyFont="1" applyBorder="1" applyAlignment="1" applyProtection="1">
      <alignment horizontal="left" vertical="top" wrapText="1"/>
      <protection locked="0"/>
    </xf>
    <xf numFmtId="49" fontId="32" fillId="0" borderId="13" xfId="0" applyNumberFormat="1" applyFont="1" applyBorder="1" applyAlignment="1" applyProtection="1">
      <alignment horizontal="left" vertical="top" wrapText="1"/>
      <protection locked="0"/>
    </xf>
    <xf numFmtId="0" fontId="37" fillId="0" borderId="0" xfId="0" applyFont="1" applyAlignment="1" applyProtection="1">
      <alignment horizontal="left" vertical="top" wrapText="1"/>
      <protection locked="0" hidden="1"/>
    </xf>
    <xf numFmtId="0" fontId="28" fillId="0" borderId="0" xfId="0" applyFont="1" applyAlignment="1" applyProtection="1">
      <alignment horizontal="right" vertical="center"/>
      <protection locked="0"/>
    </xf>
    <xf numFmtId="14" fontId="38" fillId="0" borderId="0" xfId="0" applyNumberFormat="1" applyFont="1" applyAlignment="1" applyProtection="1">
      <alignment horizontal="left"/>
      <protection locked="0" hidden="1"/>
    </xf>
    <xf numFmtId="0" fontId="27" fillId="0" borderId="0" xfId="0" applyFont="1" applyProtection="1">
      <protection locked="0"/>
    </xf>
    <xf numFmtId="14" fontId="53" fillId="28" borderId="71" xfId="0" applyNumberFormat="1" applyFont="1" applyFill="1" applyBorder="1" applyAlignment="1" applyProtection="1">
      <alignment horizontal="left" vertical="center"/>
      <protection locked="0" hidden="1"/>
    </xf>
    <xf numFmtId="0" fontId="53" fillId="28" borderId="71" xfId="0" applyFont="1" applyFill="1" applyBorder="1" applyAlignment="1" applyProtection="1">
      <alignment horizontal="left" vertical="center"/>
      <protection locked="0" hidden="1"/>
    </xf>
    <xf numFmtId="14" fontId="54" fillId="0" borderId="74" xfId="1" applyNumberFormat="1" applyFont="1" applyFill="1" applyBorder="1" applyAlignment="1" applyProtection="1">
      <alignment horizontal="left" vertical="top" wrapText="1"/>
      <protection locked="0"/>
    </xf>
    <xf numFmtId="14" fontId="54" fillId="0" borderId="13" xfId="1" applyNumberFormat="1" applyFont="1" applyFill="1" applyBorder="1" applyAlignment="1" applyProtection="1">
      <alignment horizontal="left" vertical="top" wrapText="1"/>
      <protection locked="0"/>
    </xf>
    <xf numFmtId="49" fontId="32" fillId="0" borderId="65" xfId="0" applyNumberFormat="1" applyFont="1" applyBorder="1" applyAlignment="1" applyProtection="1">
      <alignment horizontal="left" vertical="top" wrapText="1"/>
      <protection locked="0"/>
    </xf>
    <xf numFmtId="14" fontId="54" fillId="0" borderId="65" xfId="1" applyNumberFormat="1" applyFont="1" applyFill="1" applyBorder="1" applyAlignment="1" applyProtection="1">
      <alignment horizontal="left" vertical="top" wrapText="1"/>
      <protection locked="0"/>
    </xf>
    <xf numFmtId="14" fontId="32" fillId="4" borderId="42" xfId="0" applyNumberFormat="1" applyFont="1" applyFill="1" applyBorder="1" applyAlignment="1" applyProtection="1">
      <alignment horizontal="left" vertical="center" shrinkToFit="1"/>
      <protection locked="0" hidden="1"/>
    </xf>
    <xf numFmtId="0" fontId="32" fillId="4" borderId="43" xfId="0" applyFont="1" applyFill="1" applyBorder="1" applyAlignment="1" applyProtection="1">
      <alignment horizontal="left" vertical="center" shrinkToFit="1"/>
      <protection locked="0" hidden="1"/>
    </xf>
    <xf numFmtId="0" fontId="32" fillId="4" borderId="35" xfId="0" applyFont="1" applyFill="1" applyBorder="1" applyAlignment="1" applyProtection="1">
      <alignment horizontal="left" vertical="center" shrinkToFit="1"/>
      <protection locked="0" hidden="1"/>
    </xf>
    <xf numFmtId="0" fontId="26" fillId="4" borderId="0" xfId="0" applyFont="1" applyFill="1" applyAlignment="1" applyProtection="1">
      <alignment horizontal="left" vertical="top" wrapText="1"/>
      <protection locked="0"/>
    </xf>
    <xf numFmtId="0" fontId="106" fillId="0" borderId="36" xfId="1" applyFont="1" applyBorder="1" applyAlignment="1" applyProtection="1">
      <alignment horizontal="left" vertical="center" wrapText="1"/>
      <protection locked="0"/>
    </xf>
    <xf numFmtId="0" fontId="43" fillId="0" borderId="36" xfId="0" applyFont="1" applyBorder="1" applyAlignment="1" applyProtection="1">
      <alignment horizontal="left" vertical="center" wrapText="1"/>
      <protection locked="0"/>
    </xf>
    <xf numFmtId="0" fontId="32" fillId="8" borderId="34" xfId="0" applyFont="1" applyFill="1" applyBorder="1" applyAlignment="1" applyProtection="1">
      <alignment horizontal="center" vertical="center" wrapText="1"/>
      <protection locked="0" hidden="1"/>
    </xf>
    <xf numFmtId="0" fontId="32" fillId="8" borderId="42" xfId="0" applyFont="1" applyFill="1" applyBorder="1" applyAlignment="1" applyProtection="1">
      <alignment horizontal="center" vertical="center" wrapText="1"/>
      <protection locked="0" hidden="1"/>
    </xf>
    <xf numFmtId="0" fontId="32" fillId="8" borderId="32" xfId="0" applyFont="1" applyFill="1" applyBorder="1" applyAlignment="1" applyProtection="1">
      <alignment horizontal="center" vertical="center" wrapText="1"/>
      <protection locked="0" hidden="1"/>
    </xf>
    <xf numFmtId="0" fontId="32" fillId="4" borderId="44" xfId="0" applyFont="1" applyFill="1" applyBorder="1" applyAlignment="1" applyProtection="1">
      <alignment horizontal="left" vertical="top"/>
      <protection locked="0"/>
    </xf>
    <xf numFmtId="0" fontId="32" fillId="4" borderId="0" xfId="0" applyFont="1" applyFill="1" applyAlignment="1" applyProtection="1">
      <alignment horizontal="left" vertical="top"/>
      <protection locked="0"/>
    </xf>
    <xf numFmtId="0" fontId="82" fillId="44" borderId="96" xfId="0" applyFont="1" applyFill="1" applyBorder="1" applyAlignment="1" applyProtection="1">
      <alignment horizontal="center" vertical="center"/>
      <protection locked="0"/>
    </xf>
    <xf numFmtId="0" fontId="82" fillId="44" borderId="99" xfId="0" applyFont="1" applyFill="1" applyBorder="1" applyAlignment="1" applyProtection="1">
      <alignment horizontal="center" vertical="center"/>
      <protection locked="0"/>
    </xf>
    <xf numFmtId="0" fontId="82" fillId="44" borderId="94" xfId="0" applyFont="1" applyFill="1" applyBorder="1" applyAlignment="1" applyProtection="1">
      <alignment horizontal="center" vertical="center"/>
      <protection locked="0"/>
    </xf>
    <xf numFmtId="14" fontId="43" fillId="4" borderId="43" xfId="0" applyNumberFormat="1" applyFont="1" applyFill="1" applyBorder="1" applyAlignment="1" applyProtection="1">
      <alignment horizontal="left" vertical="center" shrinkToFit="1"/>
      <protection locked="0"/>
    </xf>
    <xf numFmtId="43" fontId="154" fillId="37" borderId="102" xfId="0" applyNumberFormat="1" applyFont="1" applyFill="1" applyBorder="1" applyAlignment="1" applyProtection="1">
      <alignment horizontal="left" vertical="center"/>
      <protection locked="0" hidden="1"/>
    </xf>
    <xf numFmtId="43" fontId="154" fillId="37" borderId="101" xfId="0" applyNumberFormat="1" applyFont="1" applyFill="1" applyBorder="1" applyAlignment="1" applyProtection="1">
      <alignment horizontal="left" vertical="center"/>
      <protection locked="0" hidden="1"/>
    </xf>
    <xf numFmtId="168" fontId="154" fillId="17" borderId="102" xfId="0" applyNumberFormat="1" applyFont="1" applyFill="1" applyBorder="1" applyAlignment="1" applyProtection="1">
      <alignment horizontal="left" vertical="center"/>
      <protection locked="0" hidden="1"/>
    </xf>
    <xf numFmtId="168" fontId="154" fillId="17" borderId="103" xfId="0" applyNumberFormat="1" applyFont="1" applyFill="1" applyBorder="1" applyAlignment="1" applyProtection="1">
      <alignment horizontal="left" vertical="center"/>
      <protection locked="0" hidden="1"/>
    </xf>
    <xf numFmtId="168" fontId="154" fillId="17" borderId="101" xfId="0" applyNumberFormat="1" applyFont="1" applyFill="1" applyBorder="1" applyAlignment="1" applyProtection="1">
      <alignment horizontal="left" vertical="center"/>
      <protection locked="0" hidden="1"/>
    </xf>
    <xf numFmtId="168" fontId="154" fillId="17" borderId="104" xfId="0" applyNumberFormat="1" applyFont="1" applyFill="1" applyBorder="1" applyAlignment="1" applyProtection="1">
      <alignment horizontal="left" vertical="center"/>
      <protection locked="0" hidden="1"/>
    </xf>
    <xf numFmtId="0" fontId="32" fillId="28" borderId="33" xfId="0" applyFont="1" applyFill="1" applyBorder="1" applyAlignment="1" applyProtection="1">
      <alignment horizontal="left" vertical="center" wrapText="1"/>
      <protection locked="0" hidden="1"/>
    </xf>
    <xf numFmtId="0" fontId="43" fillId="4" borderId="44" xfId="0" applyFont="1" applyFill="1" applyBorder="1" applyAlignment="1" applyProtection="1">
      <alignment horizontal="left" vertical="center" shrinkToFit="1"/>
      <protection locked="0" hidden="1"/>
    </xf>
    <xf numFmtId="0" fontId="0" fillId="0" borderId="44" xfId="0" applyBorder="1" applyAlignment="1" applyProtection="1">
      <alignment shrinkToFit="1"/>
      <protection locked="0"/>
    </xf>
    <xf numFmtId="0" fontId="0" fillId="0" borderId="38" xfId="0" applyBorder="1" applyAlignment="1" applyProtection="1">
      <alignment shrinkToFit="1"/>
      <protection locked="0"/>
    </xf>
    <xf numFmtId="0" fontId="32" fillId="6" borderId="42" xfId="0" applyFont="1" applyFill="1" applyBorder="1" applyAlignment="1" applyProtection="1">
      <alignment horizontal="left" vertical="center" wrapText="1"/>
      <protection locked="0" hidden="1"/>
    </xf>
    <xf numFmtId="0" fontId="32" fillId="6" borderId="42" xfId="0" applyFont="1" applyFill="1" applyBorder="1" applyAlignment="1" applyProtection="1">
      <alignment horizontal="left" vertical="center" shrinkToFit="1"/>
      <protection locked="0" hidden="1"/>
    </xf>
    <xf numFmtId="0" fontId="32" fillId="6" borderId="43" xfId="0" applyFont="1" applyFill="1" applyBorder="1" applyAlignment="1" applyProtection="1">
      <alignment horizontal="left" vertical="center" wrapText="1"/>
      <protection locked="0" hidden="1"/>
    </xf>
    <xf numFmtId="0" fontId="32" fillId="6" borderId="43" xfId="0" applyFont="1" applyFill="1" applyBorder="1" applyAlignment="1" applyProtection="1">
      <alignment horizontal="left" vertical="center" shrinkToFit="1"/>
      <protection locked="0" hidden="1"/>
    </xf>
    <xf numFmtId="0" fontId="32" fillId="6" borderId="43" xfId="0" applyFont="1" applyFill="1" applyBorder="1" applyAlignment="1" applyProtection="1">
      <alignment horizontal="left" vertical="center" wrapText="1"/>
      <protection locked="0"/>
    </xf>
    <xf numFmtId="0" fontId="32" fillId="6" borderId="44" xfId="0" applyFont="1" applyFill="1" applyBorder="1" applyAlignment="1" applyProtection="1">
      <alignment horizontal="left" vertical="center" wrapText="1"/>
      <protection locked="0" hidden="1"/>
    </xf>
    <xf numFmtId="49" fontId="26" fillId="4" borderId="44" xfId="0" applyNumberFormat="1" applyFont="1" applyFill="1" applyBorder="1" applyAlignment="1" applyProtection="1">
      <alignment horizontal="left" vertical="center" shrinkToFit="1"/>
      <protection locked="0"/>
    </xf>
    <xf numFmtId="0" fontId="26" fillId="0" borderId="0" xfId="0" quotePrefix="1" applyFont="1" applyAlignment="1" applyProtection="1">
      <alignment horizontal="left" vertical="top" wrapText="1"/>
      <protection locked="0"/>
    </xf>
    <xf numFmtId="0" fontId="32" fillId="18" borderId="0" xfId="0" applyFont="1" applyFill="1" applyAlignment="1" applyProtection="1">
      <alignment horizontal="left" vertical="center" wrapText="1"/>
      <protection locked="0" hidden="1"/>
    </xf>
    <xf numFmtId="0" fontId="26" fillId="0" borderId="0" xfId="0" applyFont="1" applyAlignment="1" applyProtection="1">
      <alignment horizontal="left" vertical="top" wrapText="1"/>
      <protection locked="0"/>
    </xf>
    <xf numFmtId="0" fontId="32" fillId="18" borderId="0" xfId="0" applyFont="1" applyFill="1" applyAlignment="1" applyProtection="1">
      <alignment vertical="center" wrapText="1"/>
      <protection locked="0" hidden="1"/>
    </xf>
    <xf numFmtId="0" fontId="32" fillId="18" borderId="0" xfId="0" applyFont="1" applyFill="1" applyAlignment="1" applyProtection="1">
      <alignment vertical="center"/>
      <protection locked="0" hidden="1"/>
    </xf>
    <xf numFmtId="0" fontId="26" fillId="0" borderId="45" xfId="0" quotePrefix="1" applyFont="1" applyBorder="1" applyAlignment="1" applyProtection="1">
      <alignment horizontal="left" vertical="top" wrapText="1"/>
      <protection locked="0"/>
    </xf>
    <xf numFmtId="0" fontId="32" fillId="6" borderId="6" xfId="0" applyFont="1" applyFill="1" applyBorder="1" applyAlignment="1" applyProtection="1">
      <alignment horizontal="left" vertical="center" wrapText="1"/>
      <protection locked="0" hidden="1"/>
    </xf>
    <xf numFmtId="14" fontId="32" fillId="0" borderId="6" xfId="0" applyNumberFormat="1" applyFont="1" applyBorder="1" applyAlignment="1" applyProtection="1">
      <alignment horizontal="left" vertical="center"/>
      <protection locked="0"/>
    </xf>
    <xf numFmtId="0" fontId="32" fillId="0" borderId="6" xfId="0" applyFont="1" applyBorder="1" applyAlignment="1" applyProtection="1">
      <alignment horizontal="left" vertical="center"/>
      <protection locked="0"/>
    </xf>
    <xf numFmtId="0" fontId="32" fillId="6" borderId="0" xfId="0" applyFont="1" applyFill="1" applyAlignment="1" applyProtection="1">
      <alignment horizontal="left" vertical="center" wrapText="1"/>
      <protection locked="0" hidden="1"/>
    </xf>
    <xf numFmtId="0" fontId="43" fillId="0" borderId="29" xfId="0" applyFont="1" applyBorder="1" applyAlignment="1" applyProtection="1">
      <alignment horizontal="left" vertical="center"/>
      <protection locked="0"/>
    </xf>
    <xf numFmtId="0" fontId="43" fillId="0" borderId="5" xfId="0" applyFont="1" applyBorder="1" applyAlignment="1" applyProtection="1">
      <alignment horizontal="left" vertical="center"/>
      <protection locked="0"/>
    </xf>
    <xf numFmtId="0" fontId="67" fillId="0" borderId="0" xfId="1" quotePrefix="1" applyNumberFormat="1" applyFont="1" applyBorder="1" applyAlignment="1" applyProtection="1">
      <alignment horizontal="left" vertical="center" shrinkToFit="1"/>
      <protection locked="0"/>
    </xf>
    <xf numFmtId="0" fontId="68" fillId="0" borderId="0" xfId="0" quotePrefix="1" applyFont="1" applyAlignment="1" applyProtection="1">
      <alignment horizontal="left" vertical="center" shrinkToFit="1"/>
      <protection locked="0"/>
    </xf>
    <xf numFmtId="0" fontId="43" fillId="0" borderId="77" xfId="0" applyFont="1" applyBorder="1" applyAlignment="1" applyProtection="1">
      <alignment horizontal="left" vertical="top" shrinkToFit="1"/>
      <protection locked="0"/>
    </xf>
    <xf numFmtId="0" fontId="43" fillId="0" borderId="0" xfId="0" applyFont="1" applyAlignment="1" applyProtection="1">
      <alignment horizontal="left" vertical="top" shrinkToFit="1"/>
      <protection locked="0"/>
    </xf>
    <xf numFmtId="0" fontId="43" fillId="0" borderId="76" xfId="0" applyFont="1" applyBorder="1" applyAlignment="1" applyProtection="1">
      <alignment horizontal="left" vertical="top" shrinkToFit="1"/>
      <protection locked="0"/>
    </xf>
    <xf numFmtId="166" fontId="89" fillId="38" borderId="46" xfId="2" applyNumberFormat="1" applyFont="1" applyFill="1" applyBorder="1" applyAlignment="1" applyProtection="1">
      <alignment horizontal="center" vertical="center"/>
      <protection locked="0" hidden="1"/>
    </xf>
    <xf numFmtId="166" fontId="73" fillId="38" borderId="46" xfId="2" applyNumberFormat="1" applyFont="1" applyFill="1" applyBorder="1" applyAlignment="1" applyProtection="1">
      <alignment horizontal="center" vertical="center"/>
      <protection locked="0" hidden="1"/>
    </xf>
    <xf numFmtId="0" fontId="83" fillId="38" borderId="45" xfId="2" applyFont="1" applyFill="1" applyBorder="1" applyAlignment="1" applyProtection="1">
      <alignment horizontal="left" vertical="center"/>
      <protection locked="0" hidden="1"/>
    </xf>
    <xf numFmtId="0" fontId="73" fillId="38" borderId="46" xfId="2" applyFont="1" applyFill="1" applyBorder="1" applyAlignment="1" applyProtection="1">
      <alignment horizontal="center" vertical="center" wrapText="1"/>
      <protection locked="0" hidden="1"/>
    </xf>
    <xf numFmtId="0" fontId="43" fillId="38" borderId="0" xfId="0" applyFont="1" applyFill="1" applyAlignment="1" applyProtection="1">
      <alignment horizontal="center" vertical="center"/>
      <protection locked="0"/>
    </xf>
    <xf numFmtId="0" fontId="32" fillId="7" borderId="44" xfId="0" applyFont="1" applyFill="1" applyBorder="1" applyAlignment="1" applyProtection="1">
      <alignment horizontal="left" vertical="center" shrinkToFit="1"/>
      <protection locked="0" hidden="1"/>
    </xf>
    <xf numFmtId="0" fontId="89" fillId="38" borderId="47" xfId="2" applyFont="1" applyFill="1" applyBorder="1" applyAlignment="1" applyProtection="1">
      <alignment horizontal="center" vertical="center" wrapText="1"/>
      <protection locked="0" hidden="1"/>
    </xf>
    <xf numFmtId="0" fontId="89" fillId="38" borderId="46" xfId="2" applyFont="1" applyFill="1" applyBorder="1" applyAlignment="1" applyProtection="1">
      <alignment horizontal="center" vertical="center" wrapText="1"/>
      <protection locked="0" hidden="1"/>
    </xf>
    <xf numFmtId="181" fontId="32" fillId="7" borderId="120" xfId="0" applyNumberFormat="1" applyFont="1" applyFill="1" applyBorder="1" applyAlignment="1" applyProtection="1">
      <alignment horizontal="left" vertical="center" shrinkToFit="1"/>
      <protection locked="0" hidden="1"/>
    </xf>
    <xf numFmtId="181" fontId="32" fillId="7" borderId="119" xfId="0" applyNumberFormat="1" applyFont="1" applyFill="1" applyBorder="1" applyAlignment="1" applyProtection="1">
      <alignment horizontal="left" vertical="center" shrinkToFit="1"/>
      <protection locked="0" hidden="1"/>
    </xf>
    <xf numFmtId="0" fontId="83" fillId="38" borderId="46" xfId="2" applyFont="1" applyFill="1" applyBorder="1" applyAlignment="1" applyProtection="1">
      <alignment horizontal="center" vertical="center" wrapText="1"/>
      <protection locked="0" hidden="1"/>
    </xf>
    <xf numFmtId="0" fontId="43" fillId="13" borderId="9" xfId="0" applyFont="1" applyFill="1" applyBorder="1" applyAlignment="1" applyProtection="1">
      <alignment horizontal="left" vertical="top" wrapText="1"/>
      <protection locked="0" hidden="1"/>
    </xf>
    <xf numFmtId="0" fontId="43" fillId="4" borderId="0" xfId="0" applyFont="1" applyFill="1" applyAlignment="1" applyProtection="1">
      <alignment horizontal="left" vertical="center" wrapText="1" indent="1"/>
      <protection locked="0" hidden="1"/>
    </xf>
    <xf numFmtId="0" fontId="43" fillId="4" borderId="10" xfId="0" applyFont="1" applyFill="1" applyBorder="1" applyAlignment="1" applyProtection="1">
      <alignment horizontal="left" vertical="center" wrapText="1" indent="1"/>
      <protection locked="0" hidden="1"/>
    </xf>
    <xf numFmtId="0" fontId="83" fillId="38" borderId="47" xfId="2" applyFont="1" applyFill="1" applyBorder="1" applyAlignment="1" applyProtection="1">
      <alignment horizontal="left" vertical="center" wrapText="1"/>
      <protection locked="0" hidden="1"/>
    </xf>
    <xf numFmtId="0" fontId="43" fillId="13" borderId="42" xfId="0" applyFont="1" applyFill="1" applyBorder="1" applyAlignment="1" applyProtection="1">
      <alignment horizontal="left" vertical="center" shrinkToFit="1"/>
      <protection locked="0" hidden="1"/>
    </xf>
    <xf numFmtId="0" fontId="62" fillId="13" borderId="43" xfId="0" applyFont="1" applyFill="1" applyBorder="1" applyAlignment="1" applyProtection="1">
      <alignment horizontal="left" vertical="top" shrinkToFit="1"/>
      <protection locked="0" hidden="1"/>
    </xf>
    <xf numFmtId="0" fontId="91" fillId="0" borderId="90" xfId="0" applyFont="1" applyBorder="1" applyAlignment="1" applyProtection="1">
      <alignment horizontal="left" vertical="top" wrapText="1"/>
      <protection locked="0"/>
    </xf>
    <xf numFmtId="0" fontId="91" fillId="0" borderId="0" xfId="0" applyFont="1" applyAlignment="1" applyProtection="1">
      <alignment horizontal="left" vertical="top" wrapText="1"/>
      <protection locked="0"/>
    </xf>
    <xf numFmtId="0" fontId="67" fillId="0" borderId="84" xfId="1" quotePrefix="1" applyNumberFormat="1" applyFont="1" applyBorder="1" applyAlignment="1" applyProtection="1">
      <alignment horizontal="left" vertical="center" wrapText="1"/>
      <protection locked="0"/>
    </xf>
    <xf numFmtId="0" fontId="67" fillId="0" borderId="0" xfId="1" quotePrefix="1" applyNumberFormat="1" applyFont="1" applyBorder="1" applyAlignment="1" applyProtection="1">
      <alignment horizontal="left" vertical="center" wrapText="1"/>
      <protection locked="0"/>
    </xf>
    <xf numFmtId="0" fontId="67" fillId="0" borderId="85" xfId="1" quotePrefix="1" applyNumberFormat="1" applyFont="1" applyBorder="1" applyAlignment="1" applyProtection="1">
      <alignment horizontal="left" vertical="center" wrapText="1"/>
      <protection locked="0"/>
    </xf>
    <xf numFmtId="0" fontId="67" fillId="0" borderId="86" xfId="1" quotePrefix="1" applyNumberFormat="1" applyFont="1" applyBorder="1" applyAlignment="1" applyProtection="1">
      <alignment horizontal="left" vertical="center" wrapText="1"/>
      <protection locked="0"/>
    </xf>
    <xf numFmtId="0" fontId="67" fillId="0" borderId="87" xfId="1" quotePrefix="1" applyNumberFormat="1" applyFont="1" applyBorder="1" applyAlignment="1" applyProtection="1">
      <alignment horizontal="left" vertical="center" wrapText="1"/>
      <protection locked="0"/>
    </xf>
    <xf numFmtId="0" fontId="67" fillId="0" borderId="88" xfId="1" quotePrefix="1" applyNumberFormat="1" applyFont="1" applyBorder="1" applyAlignment="1" applyProtection="1">
      <alignment horizontal="left" vertical="center" wrapText="1"/>
      <protection locked="0"/>
    </xf>
    <xf numFmtId="0" fontId="67" fillId="0" borderId="81" xfId="1" quotePrefix="1" applyNumberFormat="1" applyFont="1" applyBorder="1" applyAlignment="1" applyProtection="1">
      <alignment horizontal="left" vertical="center" wrapText="1"/>
      <protection locked="0"/>
    </xf>
    <xf numFmtId="0" fontId="67" fillId="0" borderId="82" xfId="1" quotePrefix="1" applyNumberFormat="1" applyFont="1" applyBorder="1" applyAlignment="1" applyProtection="1">
      <alignment horizontal="left" vertical="center" wrapText="1"/>
      <protection locked="0"/>
    </xf>
    <xf numFmtId="0" fontId="67" fillId="0" borderId="83" xfId="1" quotePrefix="1" applyNumberFormat="1" applyFont="1" applyBorder="1" applyAlignment="1" applyProtection="1">
      <alignment horizontal="left" vertical="center" wrapText="1"/>
      <protection locked="0"/>
    </xf>
    <xf numFmtId="14" fontId="26" fillId="0" borderId="0" xfId="0" applyNumberFormat="1" applyFont="1" applyAlignment="1" applyProtection="1">
      <alignment horizontal="left" vertical="top" shrinkToFit="1"/>
      <protection locked="0"/>
    </xf>
    <xf numFmtId="0" fontId="32" fillId="3" borderId="32" xfId="0" applyFont="1" applyFill="1" applyBorder="1" applyAlignment="1" applyProtection="1">
      <alignment horizontal="left" vertical="center" shrinkToFit="1"/>
      <protection locked="0" hidden="1"/>
    </xf>
    <xf numFmtId="0" fontId="32" fillId="3" borderId="33" xfId="0" applyFont="1" applyFill="1" applyBorder="1" applyAlignment="1" applyProtection="1">
      <alignment horizontal="left" vertical="center" shrinkToFit="1"/>
      <protection locked="0" hidden="1"/>
    </xf>
    <xf numFmtId="14" fontId="32" fillId="4" borderId="34" xfId="0" applyNumberFormat="1" applyFont="1" applyFill="1" applyBorder="1" applyAlignment="1" applyProtection="1">
      <alignment horizontal="left" vertical="center" shrinkToFit="1"/>
      <protection locked="0" hidden="1"/>
    </xf>
    <xf numFmtId="0" fontId="32" fillId="4" borderId="32" xfId="0" applyFont="1" applyFill="1" applyBorder="1" applyAlignment="1" applyProtection="1">
      <alignment horizontal="left" vertical="center" shrinkToFit="1"/>
      <protection locked="0" hidden="1"/>
    </xf>
    <xf numFmtId="0" fontId="32" fillId="8" borderId="0" xfId="0" applyFont="1" applyFill="1" applyAlignment="1" applyProtection="1">
      <alignment vertical="center" wrapText="1"/>
      <protection locked="0" hidden="1"/>
    </xf>
    <xf numFmtId="0" fontId="32" fillId="3" borderId="35" xfId="0" applyFont="1" applyFill="1" applyBorder="1" applyAlignment="1" applyProtection="1">
      <alignment horizontal="left" vertical="center" shrinkToFit="1"/>
      <protection locked="0" hidden="1"/>
    </xf>
    <xf numFmtId="0" fontId="32" fillId="3" borderId="36" xfId="0" applyFont="1" applyFill="1" applyBorder="1" applyAlignment="1" applyProtection="1">
      <alignment horizontal="left" vertical="center" shrinkToFit="1"/>
      <protection locked="0" hidden="1"/>
    </xf>
    <xf numFmtId="0" fontId="32" fillId="4" borderId="37" xfId="0" applyFont="1" applyFill="1" applyBorder="1" applyAlignment="1" applyProtection="1">
      <alignment horizontal="left" vertical="center" shrinkToFit="1"/>
      <protection locked="0" hidden="1"/>
    </xf>
    <xf numFmtId="14" fontId="32" fillId="4" borderId="37" xfId="0" applyNumberFormat="1" applyFont="1" applyFill="1" applyBorder="1" applyAlignment="1" applyProtection="1">
      <alignment horizontal="left" vertical="center" shrinkToFit="1"/>
      <protection locked="0"/>
    </xf>
    <xf numFmtId="14" fontId="32" fillId="4" borderId="35" xfId="0" applyNumberFormat="1" applyFont="1" applyFill="1" applyBorder="1" applyAlignment="1" applyProtection="1">
      <alignment horizontal="left" vertical="center" shrinkToFit="1"/>
      <protection locked="0"/>
    </xf>
    <xf numFmtId="0" fontId="32" fillId="3" borderId="38" xfId="0" applyFont="1" applyFill="1" applyBorder="1" applyAlignment="1" applyProtection="1">
      <alignment horizontal="left" vertical="center" shrinkToFit="1"/>
      <protection locked="0" hidden="1"/>
    </xf>
    <xf numFmtId="0" fontId="32" fillId="3" borderId="39" xfId="0" applyFont="1" applyFill="1" applyBorder="1" applyAlignment="1" applyProtection="1">
      <alignment horizontal="left" vertical="center" shrinkToFit="1"/>
      <protection locked="0" hidden="1"/>
    </xf>
    <xf numFmtId="0" fontId="26" fillId="4" borderId="39" xfId="0" applyFont="1" applyFill="1" applyBorder="1" applyAlignment="1" applyProtection="1">
      <alignment horizontal="left" vertical="center" shrinkToFit="1"/>
      <protection locked="0" hidden="1"/>
    </xf>
    <xf numFmtId="0" fontId="26" fillId="4" borderId="40" xfId="0" applyFont="1" applyFill="1" applyBorder="1" applyAlignment="1" applyProtection="1">
      <alignment horizontal="left" vertical="center" shrinkToFit="1"/>
      <protection locked="0" hidden="1"/>
    </xf>
    <xf numFmtId="0" fontId="32" fillId="10" borderId="0" xfId="0" applyFont="1" applyFill="1" applyAlignment="1" applyProtection="1">
      <alignment horizontal="left" vertical="center" wrapText="1"/>
      <protection locked="0" hidden="1"/>
    </xf>
    <xf numFmtId="0" fontId="32" fillId="8" borderId="0" xfId="0" applyFont="1" applyFill="1" applyAlignment="1" applyProtection="1">
      <alignment vertical="center"/>
      <protection locked="0" hidden="1"/>
    </xf>
    <xf numFmtId="0" fontId="26" fillId="0" borderId="0" xfId="0" quotePrefix="1" applyFont="1" applyAlignment="1" applyProtection="1">
      <alignment horizontal="left" vertical="top" shrinkToFit="1"/>
      <protection locked="0" hidden="1"/>
    </xf>
    <xf numFmtId="0" fontId="26" fillId="0" borderId="0" xfId="0" applyFont="1" applyAlignment="1" applyProtection="1">
      <alignment horizontal="left" vertical="top" shrinkToFit="1"/>
      <protection locked="0"/>
    </xf>
    <xf numFmtId="0" fontId="32" fillId="8" borderId="0" xfId="0" applyFont="1" applyFill="1" applyAlignment="1" applyProtection="1">
      <alignment horizontal="left" vertical="center" wrapText="1"/>
      <protection locked="0" hidden="1"/>
    </xf>
    <xf numFmtId="4" fontId="67" fillId="3" borderId="77" xfId="11" applyNumberFormat="1" applyFont="1" applyFill="1" applyBorder="1" applyAlignment="1" applyProtection="1">
      <alignment horizontal="right" vertical="center"/>
      <protection locked="0" hidden="1"/>
    </xf>
    <xf numFmtId="4" fontId="67" fillId="3" borderId="75" xfId="11" applyNumberFormat="1" applyFont="1" applyFill="1" applyBorder="1" applyAlignment="1" applyProtection="1">
      <alignment horizontal="right" vertical="center"/>
      <protection locked="0" hidden="1"/>
    </xf>
    <xf numFmtId="4" fontId="69" fillId="8" borderId="77" xfId="11" applyNumberFormat="1" applyFont="1" applyFill="1" applyBorder="1" applyAlignment="1" applyProtection="1">
      <alignment horizontal="right" vertical="center"/>
      <protection locked="0" hidden="1"/>
    </xf>
    <xf numFmtId="4" fontId="69" fillId="8" borderId="75" xfId="11" applyNumberFormat="1" applyFont="1" applyFill="1" applyBorder="1" applyAlignment="1" applyProtection="1">
      <alignment horizontal="right" vertical="center"/>
      <protection locked="0" hidden="1"/>
    </xf>
    <xf numFmtId="0" fontId="32" fillId="5" borderId="0" xfId="0" applyFont="1" applyFill="1" applyAlignment="1" applyProtection="1">
      <alignment horizontal="right" vertical="center"/>
      <protection locked="0" hidden="1"/>
    </xf>
    <xf numFmtId="0" fontId="43" fillId="0" borderId="0" xfId="0" quotePrefix="1" applyFont="1" applyAlignment="1" applyProtection="1">
      <alignment horizontal="left" vertical="top" wrapText="1"/>
      <protection locked="0"/>
    </xf>
    <xf numFmtId="0" fontId="43" fillId="13" borderId="43" xfId="0" applyFont="1" applyFill="1" applyBorder="1" applyAlignment="1" applyProtection="1">
      <alignment horizontal="left" vertical="center" shrinkToFit="1"/>
      <protection locked="0" hidden="1"/>
    </xf>
    <xf numFmtId="0" fontId="43" fillId="4" borderId="43" xfId="0" applyFont="1" applyFill="1" applyBorder="1" applyAlignment="1" applyProtection="1">
      <alignment horizontal="left" vertical="center" shrinkToFit="1"/>
      <protection locked="0" hidden="1"/>
    </xf>
    <xf numFmtId="0" fontId="63" fillId="7" borderId="0" xfId="0" applyFont="1" applyFill="1" applyAlignment="1" applyProtection="1">
      <alignment horizontal="left" vertical="center" wrapText="1"/>
      <protection locked="0" hidden="1"/>
    </xf>
    <xf numFmtId="0" fontId="32" fillId="19" borderId="0" xfId="0" applyFont="1" applyFill="1" applyAlignment="1" applyProtection="1">
      <alignment horizontal="left" vertical="center"/>
      <protection locked="0" hidden="1"/>
    </xf>
    <xf numFmtId="4" fontId="67" fillId="13" borderId="46" xfId="11" applyNumberFormat="1" applyFont="1" applyFill="1" applyBorder="1" applyAlignment="1" applyProtection="1">
      <alignment horizontal="right" vertical="center"/>
      <protection locked="0" hidden="1"/>
    </xf>
    <xf numFmtId="4" fontId="69" fillId="7" borderId="46" xfId="11" applyNumberFormat="1" applyFont="1" applyFill="1" applyBorder="1" applyAlignment="1" applyProtection="1">
      <alignment horizontal="right" vertical="center"/>
      <protection locked="0" hidden="1"/>
    </xf>
    <xf numFmtId="0" fontId="65" fillId="5" borderId="0" xfId="0" applyFont="1" applyFill="1" applyAlignment="1" applyProtection="1">
      <alignment horizontal="right" vertical="center"/>
      <protection locked="0" hidden="1"/>
    </xf>
    <xf numFmtId="14" fontId="43" fillId="4" borderId="42" xfId="0" applyNumberFormat="1" applyFont="1" applyFill="1" applyBorder="1" applyAlignment="1" applyProtection="1">
      <alignment horizontal="left" vertical="center" shrinkToFit="1"/>
      <protection locked="0" hidden="1"/>
    </xf>
    <xf numFmtId="0" fontId="43" fillId="4" borderId="42" xfId="0" applyFont="1" applyFill="1" applyBorder="1" applyAlignment="1" applyProtection="1">
      <alignment horizontal="left" vertical="center" shrinkToFit="1"/>
      <protection locked="0" hidden="1"/>
    </xf>
    <xf numFmtId="0" fontId="43" fillId="13" borderId="44" xfId="0" applyFont="1" applyFill="1" applyBorder="1" applyAlignment="1" applyProtection="1">
      <alignment horizontal="left" vertical="center" shrinkToFit="1"/>
      <protection locked="0" hidden="1"/>
    </xf>
    <xf numFmtId="0" fontId="153" fillId="7" borderId="0" xfId="0" applyFont="1" applyFill="1" applyAlignment="1" applyProtection="1">
      <alignment horizontal="left" vertical="center" wrapText="1"/>
      <protection locked="0" hidden="1"/>
    </xf>
    <xf numFmtId="0" fontId="43" fillId="13" borderId="0" xfId="0" applyFont="1" applyFill="1" applyAlignment="1" applyProtection="1">
      <alignment horizontal="left" vertical="center" wrapText="1"/>
      <protection locked="0" hidden="1"/>
    </xf>
    <xf numFmtId="0" fontId="43" fillId="0" borderId="11" xfId="0" applyFont="1" applyBorder="1" applyAlignment="1" applyProtection="1">
      <alignment horizontal="center" vertical="center"/>
      <protection locked="0"/>
    </xf>
    <xf numFmtId="0" fontId="43" fillId="13" borderId="28" xfId="0" applyFont="1" applyFill="1" applyBorder="1" applyAlignment="1" applyProtection="1">
      <alignment horizontal="left" vertical="center" wrapText="1"/>
      <protection locked="0" hidden="1"/>
    </xf>
    <xf numFmtId="14" fontId="43" fillId="0" borderId="28" xfId="0" applyNumberFormat="1" applyFont="1" applyBorder="1" applyAlignment="1" applyProtection="1">
      <alignment horizontal="left" vertical="center"/>
      <protection locked="0"/>
    </xf>
    <xf numFmtId="0" fontId="43" fillId="0" borderId="28" xfId="0" applyFont="1" applyBorder="1" applyAlignment="1" applyProtection="1">
      <alignment horizontal="left" vertical="center"/>
      <protection locked="0"/>
    </xf>
    <xf numFmtId="0" fontId="43" fillId="0" borderId="0" xfId="0" applyFont="1" applyAlignment="1" applyProtection="1">
      <alignment horizontal="center" vertical="center"/>
      <protection locked="0"/>
    </xf>
    <xf numFmtId="0" fontId="43" fillId="0" borderId="0" xfId="0" quotePrefix="1" applyFont="1" applyAlignment="1" applyProtection="1">
      <alignment horizontal="left" vertical="top" shrinkToFit="1"/>
      <protection locked="0"/>
    </xf>
    <xf numFmtId="0" fontId="26" fillId="7" borderId="0" xfId="0" applyFont="1" applyFill="1" applyAlignment="1" applyProtection="1">
      <alignment horizontal="left" vertical="center" wrapText="1"/>
      <protection locked="0" hidden="1"/>
    </xf>
    <xf numFmtId="0" fontId="32" fillId="0" borderId="0" xfId="0" quotePrefix="1" applyFont="1" applyAlignment="1" applyProtection="1">
      <alignment horizontal="left" vertical="top" wrapText="1"/>
      <protection locked="0"/>
    </xf>
    <xf numFmtId="0" fontId="32" fillId="0" borderId="0" xfId="0" applyFont="1" applyAlignment="1" applyProtection="1">
      <alignment horizontal="left" vertical="top" wrapText="1"/>
      <protection locked="0"/>
    </xf>
    <xf numFmtId="0" fontId="32" fillId="0" borderId="97" xfId="0" applyFont="1" applyBorder="1" applyAlignment="1" applyProtection="1">
      <alignment horizontal="left" vertical="top" wrapText="1"/>
      <protection locked="0"/>
    </xf>
    <xf numFmtId="0" fontId="166" fillId="52" borderId="0" xfId="32" applyFont="1" applyFill="1" applyProtection="1">
      <alignment horizontal="left" vertical="center" indent="2"/>
      <protection locked="0"/>
    </xf>
    <xf numFmtId="0" fontId="67" fillId="0" borderId="18" xfId="11" applyFont="1" applyBorder="1" applyAlignment="1" applyProtection="1">
      <alignment horizontal="left" vertical="center" wrapText="1"/>
      <protection locked="0"/>
    </xf>
    <xf numFmtId="0" fontId="67" fillId="0" borderId="18" xfId="11" applyFont="1" applyBorder="1" applyAlignment="1" applyProtection="1">
      <alignment horizontal="left" wrapText="1"/>
      <protection locked="0"/>
    </xf>
    <xf numFmtId="4" fontId="54" fillId="0" borderId="18" xfId="11" applyNumberFormat="1" applyFont="1" applyBorder="1" applyAlignment="1" applyProtection="1">
      <alignment vertical="center"/>
      <protection locked="0"/>
    </xf>
    <xf numFmtId="4" fontId="54" fillId="0" borderId="18" xfId="11" applyNumberFormat="1" applyFont="1" applyBorder="1" applyProtection="1">
      <protection locked="0"/>
    </xf>
    <xf numFmtId="4" fontId="54" fillId="0" borderId="18" xfId="11" applyNumberFormat="1" applyFont="1" applyBorder="1" applyAlignment="1" applyProtection="1">
      <alignment vertical="center"/>
      <protection locked="0" hidden="1"/>
    </xf>
    <xf numFmtId="4" fontId="54" fillId="0" borderId="18" xfId="11" applyNumberFormat="1" applyFont="1" applyBorder="1" applyProtection="1">
      <protection locked="0" hidden="1"/>
    </xf>
    <xf numFmtId="49" fontId="68" fillId="0" borderId="18" xfId="11" applyNumberFormat="1" applyFont="1" applyBorder="1" applyAlignment="1" applyProtection="1">
      <alignment vertical="center" wrapText="1"/>
      <protection locked="0"/>
    </xf>
    <xf numFmtId="49" fontId="68" fillId="0" borderId="18" xfId="11" applyNumberFormat="1" applyFont="1" applyBorder="1" applyAlignment="1" applyProtection="1">
      <alignment wrapText="1"/>
      <protection locked="0"/>
    </xf>
    <xf numFmtId="0" fontId="140" fillId="0" borderId="20" xfId="11" applyFont="1" applyBorder="1" applyAlignment="1" applyProtection="1">
      <alignment vertical="center"/>
      <protection locked="0" hidden="1"/>
    </xf>
    <xf numFmtId="0" fontId="140" fillId="0" borderId="20" xfId="11" applyFont="1" applyBorder="1" applyProtection="1">
      <protection locked="0" hidden="1"/>
    </xf>
    <xf numFmtId="4" fontId="140" fillId="0" borderId="20" xfId="11" applyNumberFormat="1" applyFont="1" applyBorder="1" applyAlignment="1" applyProtection="1">
      <alignment vertical="center"/>
      <protection locked="0" hidden="1"/>
    </xf>
    <xf numFmtId="4" fontId="140" fillId="0" borderId="20" xfId="11" applyNumberFormat="1" applyFont="1" applyBorder="1" applyProtection="1">
      <protection locked="0" hidden="1"/>
    </xf>
    <xf numFmtId="9" fontId="54" fillId="0" borderId="21" xfId="11" applyNumberFormat="1" applyFont="1" applyBorder="1" applyAlignment="1" applyProtection="1">
      <alignment horizontal="center" vertical="center"/>
      <protection locked="0" hidden="1"/>
    </xf>
    <xf numFmtId="9" fontId="54" fillId="0" borderId="21" xfId="11" applyNumberFormat="1" applyFont="1" applyBorder="1" applyAlignment="1" applyProtection="1">
      <alignment horizontal="center"/>
      <protection locked="0" hidden="1"/>
    </xf>
    <xf numFmtId="0" fontId="138" fillId="17" borderId="0" xfId="11" applyFont="1" applyFill="1" applyAlignment="1" applyProtection="1">
      <alignment vertical="center"/>
      <protection locked="0" hidden="1"/>
    </xf>
    <xf numFmtId="0" fontId="139" fillId="17" borderId="0" xfId="11" applyFont="1" applyFill="1" applyAlignment="1" applyProtection="1">
      <alignment horizontal="right" vertical="center"/>
      <protection locked="0" hidden="1"/>
    </xf>
    <xf numFmtId="0" fontId="139" fillId="17" borderId="0" xfId="11" applyFont="1" applyFill="1" applyAlignment="1" applyProtection="1">
      <alignment horizontal="left" vertical="center"/>
      <protection locked="0" hidden="1"/>
    </xf>
    <xf numFmtId="0" fontId="68" fillId="0" borderId="18" xfId="11" applyFont="1" applyBorder="1" applyAlignment="1" applyProtection="1">
      <alignment vertical="center" wrapText="1"/>
      <protection locked="0"/>
    </xf>
    <xf numFmtId="0" fontId="68" fillId="0" borderId="18" xfId="11" applyFont="1" applyBorder="1" applyAlignment="1" applyProtection="1">
      <alignment wrapText="1"/>
      <protection locked="0"/>
    </xf>
    <xf numFmtId="49" fontId="68" fillId="5" borderId="26" xfId="11" applyNumberFormat="1" applyFont="1" applyFill="1" applyBorder="1" applyAlignment="1" applyProtection="1">
      <alignment horizontal="right" vertical="center"/>
      <protection locked="0"/>
    </xf>
    <xf numFmtId="0" fontId="106" fillId="0" borderId="18" xfId="1" applyNumberFormat="1" applyFont="1" applyFill="1" applyBorder="1" applyProtection="1">
      <alignment vertical="center"/>
      <protection locked="0"/>
    </xf>
    <xf numFmtId="0" fontId="54" fillId="5" borderId="27" xfId="11" applyFont="1" applyFill="1" applyBorder="1" applyAlignment="1" applyProtection="1">
      <alignment horizontal="right" vertical="center"/>
      <protection locked="0" hidden="1"/>
    </xf>
    <xf numFmtId="4" fontId="140" fillId="0" borderId="24" xfId="11" applyNumberFormat="1" applyFont="1" applyBorder="1" applyAlignment="1" applyProtection="1">
      <alignment horizontal="right" vertical="center"/>
      <protection locked="0" hidden="1"/>
    </xf>
    <xf numFmtId="0" fontId="140" fillId="0" borderId="24" xfId="11" applyFont="1" applyBorder="1" applyAlignment="1" applyProtection="1">
      <alignment vertical="center"/>
      <protection locked="0" hidden="1"/>
    </xf>
    <xf numFmtId="0" fontId="69" fillId="0" borderId="18" xfId="11" applyFont="1" applyBorder="1" applyAlignment="1" applyProtection="1">
      <alignment horizontal="left" vertical="center" wrapText="1"/>
      <protection locked="0" hidden="1"/>
    </xf>
    <xf numFmtId="0" fontId="54" fillId="5" borderId="27" xfId="11" applyFont="1" applyFill="1" applyBorder="1" applyAlignment="1" applyProtection="1">
      <alignment vertical="center"/>
      <protection locked="0" hidden="1"/>
    </xf>
    <xf numFmtId="0" fontId="67" fillId="0" borderId="0" xfId="11" applyFont="1" applyAlignment="1" applyProtection="1">
      <alignment horizontal="left" vertical="center" wrapText="1"/>
      <protection locked="0"/>
    </xf>
    <xf numFmtId="0" fontId="67" fillId="0" borderId="0" xfId="11" applyFont="1" applyAlignment="1" applyProtection="1">
      <alignment horizontal="left" wrapText="1"/>
      <protection locked="0"/>
    </xf>
    <xf numFmtId="0" fontId="69" fillId="0" borderId="0" xfId="11" applyFont="1" applyAlignment="1" applyProtection="1">
      <alignment horizontal="left" vertical="center" wrapText="1"/>
      <protection locked="0" hidden="1"/>
    </xf>
    <xf numFmtId="0" fontId="69" fillId="0" borderId="0" xfId="11" applyFont="1" applyAlignment="1" applyProtection="1">
      <alignment horizontal="left" wrapText="1"/>
      <protection locked="0" hidden="1"/>
    </xf>
    <xf numFmtId="0" fontId="32" fillId="29" borderId="0" xfId="0" applyFont="1" applyFill="1" applyAlignment="1" applyProtection="1">
      <alignment horizontal="left"/>
      <protection locked="0"/>
    </xf>
    <xf numFmtId="14" fontId="100" fillId="17" borderId="48" xfId="0" applyNumberFormat="1" applyFont="1" applyFill="1" applyBorder="1" applyAlignment="1" applyProtection="1">
      <alignment horizontal="center" vertical="center"/>
      <protection locked="0" hidden="1"/>
    </xf>
    <xf numFmtId="14" fontId="100" fillId="17" borderId="49" xfId="0" applyNumberFormat="1" applyFont="1" applyFill="1" applyBorder="1" applyAlignment="1" applyProtection="1">
      <alignment horizontal="center" vertical="center"/>
      <protection locked="0" hidden="1"/>
    </xf>
    <xf numFmtId="14" fontId="100" fillId="17" borderId="50" xfId="0" applyNumberFormat="1" applyFont="1" applyFill="1" applyBorder="1" applyAlignment="1" applyProtection="1">
      <alignment horizontal="center" vertical="center"/>
      <protection locked="0" hidden="1"/>
    </xf>
    <xf numFmtId="14" fontId="97" fillId="0" borderId="0" xfId="0" applyNumberFormat="1" applyFont="1" applyAlignment="1" applyProtection="1">
      <alignment horizontal="center" vertical="center"/>
      <protection locked="0"/>
    </xf>
    <xf numFmtId="14" fontId="95" fillId="0" borderId="0" xfId="19" applyNumberFormat="1" applyFont="1" applyBorder="1" applyAlignment="1" applyProtection="1">
      <alignment horizontal="left"/>
      <protection locked="0" hidden="1"/>
    </xf>
    <xf numFmtId="173" fontId="100" fillId="17" borderId="48" xfId="0" applyNumberFormat="1" applyFont="1" applyFill="1" applyBorder="1" applyAlignment="1" applyProtection="1">
      <alignment horizontal="center" vertical="center"/>
      <protection locked="0" hidden="1"/>
    </xf>
    <xf numFmtId="173" fontId="100" fillId="17" borderId="49" xfId="0" applyNumberFormat="1" applyFont="1" applyFill="1" applyBorder="1" applyAlignment="1" applyProtection="1">
      <alignment horizontal="center" vertical="center"/>
      <protection locked="0" hidden="1"/>
    </xf>
    <xf numFmtId="173" fontId="100" fillId="17" borderId="50" xfId="0" applyNumberFormat="1" applyFont="1" applyFill="1" applyBorder="1" applyAlignment="1" applyProtection="1">
      <alignment horizontal="center" vertical="center"/>
      <protection locked="0" hidden="1"/>
    </xf>
    <xf numFmtId="0" fontId="95" fillId="0" borderId="0" xfId="19" applyFont="1" applyBorder="1" applyAlignment="1" applyProtection="1">
      <alignment horizontal="left"/>
      <protection locked="0" hidden="1"/>
    </xf>
    <xf numFmtId="0" fontId="97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43" fillId="0" borderId="34" xfId="0" applyFont="1" applyBorder="1" applyAlignment="1" applyProtection="1">
      <alignment horizontal="center" vertical="center" wrapText="1"/>
      <protection locked="0"/>
    </xf>
    <xf numFmtId="0" fontId="43" fillId="0" borderId="37" xfId="0" applyFont="1" applyBorder="1" applyAlignment="1" applyProtection="1">
      <alignment horizontal="center" vertical="center" wrapText="1"/>
      <protection locked="0"/>
    </xf>
    <xf numFmtId="0" fontId="43" fillId="0" borderId="40" xfId="0" applyFont="1" applyBorder="1" applyAlignment="1" applyProtection="1">
      <alignment horizontal="center" vertical="center" wrapText="1"/>
      <protection locked="0"/>
    </xf>
  </cellXfs>
  <cellStyles count="36">
    <cellStyle name="20 % - Akzent3" xfId="18" builtinId="38"/>
    <cellStyle name="40 % - Akzent3" xfId="16" builtinId="39"/>
    <cellStyle name="40 % - Akzent4" xfId="17" builtinId="43"/>
    <cellStyle name="Année civile" xfId="31" xr:uid="{FFC09B7C-E1BC-4BC2-98C9-B8A22E4B0A56}"/>
    <cellStyle name="Date" xfId="33" xr:uid="{9EC95471-496C-44B7-949A-5167207D1EAE}"/>
    <cellStyle name="Euro" xfId="12" xr:uid="{00000000-0005-0000-0000-000003000000}"/>
    <cellStyle name="Hyperlink 2" xfId="3" xr:uid="{00000000-0005-0000-0000-000004000000}"/>
    <cellStyle name="Hyperlink 3" xfId="7" xr:uid="{00000000-0005-0000-0000-000005000000}"/>
    <cellStyle name="Hyperlink 4" xfId="10" xr:uid="{00000000-0005-0000-0000-000006000000}"/>
    <cellStyle name="Komma" xfId="5" builtinId="3"/>
    <cellStyle name="Komma 2" xfId="4" xr:uid="{00000000-0005-0000-0000-000008000000}"/>
    <cellStyle name="Komma 3" xfId="24" xr:uid="{A20CF935-281B-47A3-BF89-CE235EAC6C77}"/>
    <cellStyle name="Link" xfId="1" builtinId="8" customBuiltin="1"/>
    <cellStyle name="Link 2" xfId="19" xr:uid="{00000000-0005-0000-0000-00000A000000}"/>
    <cellStyle name="Link 3" xfId="21" xr:uid="{00000000-0005-0000-0000-00000B000000}"/>
    <cellStyle name="Link 4" xfId="35" xr:uid="{04E24F7A-2EDD-4AE3-97A0-83DFE32C0791}"/>
    <cellStyle name="Normal 2" xfId="6" xr:uid="{00000000-0005-0000-0000-00000C000000}"/>
    <cellStyle name="Prozent" xfId="15" builtinId="5"/>
    <cellStyle name="Prozent 2" xfId="14" xr:uid="{00000000-0005-0000-0000-00000E000000}"/>
    <cellStyle name="Prozent 3" xfId="34" xr:uid="{4C5D4427-C386-4FA8-85DA-FE652BE206BC}"/>
    <cellStyle name="Prozent 4" xfId="29" xr:uid="{C1C2D90E-2485-4ECF-9EA6-C1F51AC376D2}"/>
    <cellStyle name="Standard" xfId="0" builtinId="0"/>
    <cellStyle name="Standard 15" xfId="26" xr:uid="{4CCB0D8E-4AF8-427A-96CC-D7CDA51E28DD}"/>
    <cellStyle name="Standard 16" xfId="27" xr:uid="{F8072A5E-2F5E-46B0-A5EB-2A9715511F56}"/>
    <cellStyle name="Standard 18" xfId="22" xr:uid="{7E64FAD3-9853-47E1-86F7-1E5C01FBFF59}"/>
    <cellStyle name="Standard 19" xfId="23" xr:uid="{06793950-92A8-4866-AA11-C063B80CB79E}"/>
    <cellStyle name="Standard 2" xfId="2" xr:uid="{00000000-0005-0000-0000-000010000000}"/>
    <cellStyle name="Standard 25" xfId="28" xr:uid="{7CD64D6A-E717-45C6-9C77-13DC2F23F752}"/>
    <cellStyle name="Standard 3" xfId="8" xr:uid="{00000000-0005-0000-0000-000011000000}"/>
    <cellStyle name="Standard 3 2" xfId="9" xr:uid="{00000000-0005-0000-0000-000012000000}"/>
    <cellStyle name="Standard 4" xfId="11" xr:uid="{00000000-0005-0000-0000-000013000000}"/>
    <cellStyle name="Standard 5" xfId="20" xr:uid="{00000000-0005-0000-0000-000014000000}"/>
    <cellStyle name="Standard 6" xfId="25" xr:uid="{38D8AEA5-6AAC-4BCC-9309-EA2478392802}"/>
    <cellStyle name="Standard 7" xfId="30" xr:uid="{51B17FE7-A63B-4638-8C3D-E2B89BB3653E}"/>
    <cellStyle name="Überschrift 5" xfId="32" xr:uid="{BCEA609E-AD3E-4D61-8411-76A175DAEA6A}"/>
    <cellStyle name="Währung 2" xfId="13" xr:uid="{00000000-0005-0000-0000-000015000000}"/>
  </cellStyles>
  <dxfs count="284">
    <dxf>
      <font>
        <strike val="0"/>
        <outline val="0"/>
        <shadow val="0"/>
        <u val="none"/>
        <vertAlign val="baseline"/>
        <color theme="1"/>
      </font>
      <protection locked="0" hidden="0"/>
    </dxf>
    <dxf>
      <font>
        <strike val="0"/>
        <outline val="0"/>
        <shadow val="0"/>
        <u val="none"/>
        <vertAlign val="baseline"/>
        <sz val="11"/>
        <color theme="0"/>
        <name val="Calibri Light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numFmt numFmtId="1" formatCode="0"/>
      <alignment horizontal="center" vertical="top" textRotation="0" wrapText="0" indent="0" justifyLastLine="0" shrinkToFit="0" readingOrder="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alignment horizontal="left" vertical="top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alignment horizontal="left" vertical="top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/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 Light"/>
        <family val="2"/>
        <scheme val="none"/>
      </font>
      <fill>
        <patternFill patternType="solid">
          <fgColor indexed="64"/>
          <bgColor theme="3"/>
        </patternFill>
      </fill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  <alignment vertical="center" textRotation="0" wrapText="0" indent="0" justifyLastLine="0" shrinkToFit="1" readingOrder="0"/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  <alignment vertical="center" textRotation="0" wrapText="0" indent="0" justifyLastLine="0" shrinkToFit="1" readingOrder="0"/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1" readingOrder="0"/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  <alignment vertical="center" textRotation="0" wrapText="0" indent="0" justifyLastLine="0" shrinkToFit="1" readingOrder="0"/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  <alignment vertical="center" textRotation="0" wrapText="0" indent="0" justifyLastLine="0" shrinkToFit="1" readingOrder="0"/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  <alignment horizontal="left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  <alignment vertical="center" textRotation="0" wrapText="0" indent="0" justifyLastLine="0" shrinkToFit="1" readingOrder="0"/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 tint="0.499984740745262"/>
        <name val="Calibri Light"/>
        <family val="2"/>
        <scheme val="none"/>
      </font>
      <protection locked="0" hidden="0"/>
    </dxf>
    <dxf>
      <fill>
        <patternFill>
          <bgColor theme="5" tint="0.59996337778862885"/>
        </patternFill>
      </fill>
    </dxf>
    <dxf>
      <fill>
        <patternFill>
          <bgColor rgb="FFFF9999"/>
        </patternFill>
      </fill>
    </dxf>
    <dxf>
      <fill>
        <patternFill>
          <bgColor theme="3" tint="0.79998168889431442"/>
        </patternFill>
      </fill>
    </dxf>
    <dxf>
      <fill>
        <patternFill>
          <bgColor rgb="FFFF9999"/>
        </patternFill>
      </fill>
    </dxf>
    <dxf>
      <fill>
        <patternFill>
          <bgColor theme="3" tint="0.79998168889431442"/>
        </patternFill>
      </fill>
    </dxf>
    <dxf>
      <fill>
        <patternFill>
          <bgColor rgb="FFFF9999"/>
        </patternFill>
      </fill>
    </dxf>
    <dxf>
      <fill>
        <patternFill>
          <bgColor theme="3" tint="0.79998168889431442"/>
        </patternFill>
      </fill>
    </dxf>
    <dxf>
      <fill>
        <patternFill>
          <bgColor rgb="FFFF9999"/>
        </patternFill>
      </fill>
    </dxf>
    <dxf>
      <fill>
        <patternFill>
          <bgColor theme="3" tint="0.79998168889431442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  <border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CE1E0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rgb="FFFFCC66"/>
        </patternFill>
      </fill>
    </dxf>
    <dxf>
      <fill>
        <patternFill>
          <bgColor rgb="FFFFCC66"/>
        </patternFill>
      </fill>
    </dxf>
    <dxf>
      <font>
        <color auto="1"/>
      </font>
      <fill>
        <patternFill>
          <bgColor rgb="FFFFBDBD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EAA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EAA7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EAA7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EAA7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C66"/>
        </patternFill>
      </fill>
    </dxf>
    <dxf>
      <font>
        <color rgb="FFC00000"/>
      </font>
      <fill>
        <patternFill>
          <bgColor theme="5" tint="0.39994506668294322"/>
        </patternFill>
      </fill>
    </dxf>
    <dxf>
      <fill>
        <patternFill>
          <bgColor rgb="FFFFCC66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ont>
        <color rgb="FFFF3300"/>
      </font>
    </dxf>
    <dxf>
      <font>
        <color rgb="FFFF0000"/>
      </font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outline="0">
        <bottom style="hair">
          <color auto="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/>
        </patternFill>
      </fill>
      <border>
        <top style="thick">
          <color theme="0"/>
        </top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TableStyleMedium9" defaultPivotStyle="PivotStyleLight16">
    <tableStyle name="Liste de tâches" pivot="0" count="3" xr9:uid="{927AD86D-157B-42B7-8EF1-C60F06525287}">
      <tableStyleElement type="wholeTable" dxfId="283"/>
      <tableStyleElement type="headerRow" dxfId="282"/>
      <tableStyleElement type="secondRowStripe" dxfId="281"/>
    </tableStyle>
    <tableStyle name="Tabellenformat 1" pivot="0" count="0" xr9:uid="{12E73D07-6C33-4E29-B7F0-BCBA5C5E08A2}"/>
  </tableStyles>
  <colors>
    <mruColors>
      <color rgb="FFFFBDBD"/>
      <color rgb="FFFF9999"/>
      <color rgb="FFFFD961"/>
      <color rgb="FFFF9393"/>
      <color rgb="FFFFEAA7"/>
      <color rgb="FFFFE79B"/>
      <color rgb="FF666699"/>
      <color rgb="FF5475AA"/>
      <color rgb="FF388288"/>
      <color rgb="FF3379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alcChain" Target="calcChain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75000"/>
                    </a:schemeClr>
                  </a:gs>
                  <a:gs pos="50000">
                    <a:schemeClr val="accent1">
                      <a:lumMod val="60000"/>
                      <a:lumOff val="40000"/>
                    </a:schemeClr>
                  </a:gs>
                  <a:gs pos="100000">
                    <a:schemeClr val="accent1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030C-4247-834C-4A556FB76621}"/>
              </c:ext>
            </c:extLst>
          </c:dPt>
          <c:dLbls>
            <c:dLbl>
              <c:idx val="0"/>
              <c:layout>
                <c:manualLayout>
                  <c:x val="-9.4420760641170984E-2"/>
                  <c:y val="-1.7210963383675401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30C-4247-834C-4A556FB766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>
                    <a:solidFill>
                      <a:schemeClr val="bg1"/>
                    </a:solidFill>
                    <a:latin typeface="Calibri Light" panose="020F0302020204030204" pitchFamily="34" charset="0"/>
                    <a:ea typeface="Calibri Light" panose="020F0302020204030204" pitchFamily="34" charset="0"/>
                    <a:cs typeface="Calibri Light" panose="020F030202020403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Detailplan!$J$14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0C-4247-834C-4A556FB766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6789344"/>
        <c:axId val="216781184"/>
      </c:barChart>
      <c:catAx>
        <c:axId val="216789344"/>
        <c:scaling>
          <c:orientation val="minMax"/>
        </c:scaling>
        <c:delete val="1"/>
        <c:axPos val="l"/>
        <c:majorTickMark val="out"/>
        <c:minorTickMark val="none"/>
        <c:tickLblPos val="nextTo"/>
        <c:crossAx val="216781184"/>
        <c:crosses val="autoZero"/>
        <c:auto val="1"/>
        <c:lblAlgn val="ctr"/>
        <c:lblOffset val="100"/>
        <c:noMultiLvlLbl val="0"/>
      </c:catAx>
      <c:valAx>
        <c:axId val="216781184"/>
        <c:scaling>
          <c:orientation val="minMax"/>
          <c:max val="1"/>
          <c:min val="0"/>
        </c:scaling>
        <c:delete val="1"/>
        <c:axPos val="b"/>
        <c:majorGridlines>
          <c:spPr>
            <a:ln>
              <a:noFill/>
            </a:ln>
          </c:spPr>
        </c:majorGridlines>
        <c:numFmt formatCode="0%" sourceLinked="1"/>
        <c:majorTickMark val="out"/>
        <c:minorTickMark val="none"/>
        <c:tickLblPos val="nextTo"/>
        <c:crossAx val="216789344"/>
        <c:crosses val="autoZero"/>
        <c:crossBetween val="between"/>
        <c:majorUnit val="0.2"/>
        <c:minorUnit val="4.0000000000000008E-2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7392804753635555E-2"/>
          <c:y val="0.25731051744545796"/>
          <c:w val="0.95428311157898549"/>
          <c:h val="0.4853801169590643"/>
        </c:manualLayout>
      </c:layout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1080000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AAC1-4F0C-BA0B-180AE7B6570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latin typeface="Calibri Light" panose="020F0302020204030204" pitchFamily="34" charset="0"/>
                    <a:cs typeface="Calibri Light" panose="020F0302020204030204" pitchFamily="34" charset="0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Detailplan!$J$14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AC1-4F0C-BA0B-180AE7B657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7633424"/>
        <c:axId val="327811696"/>
      </c:barChart>
      <c:catAx>
        <c:axId val="217633424"/>
        <c:scaling>
          <c:orientation val="minMax"/>
        </c:scaling>
        <c:delete val="1"/>
        <c:axPos val="l"/>
        <c:majorTickMark val="out"/>
        <c:minorTickMark val="none"/>
        <c:tickLblPos val="nextTo"/>
        <c:crossAx val="327811696"/>
        <c:crosses val="autoZero"/>
        <c:auto val="1"/>
        <c:lblAlgn val="ctr"/>
        <c:lblOffset val="100"/>
        <c:noMultiLvlLbl val="0"/>
      </c:catAx>
      <c:valAx>
        <c:axId val="327811696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217633424"/>
        <c:crosses val="autoZero"/>
        <c:crossBetween val="between"/>
        <c:majorUnit val="0.2"/>
        <c:minorUnit val="4.0000000000000008E-2"/>
      </c:valAx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/>
      </a:pPr>
      <a:endParaRPr lang="fr-FR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75000"/>
                    </a:schemeClr>
                  </a:gs>
                  <a:gs pos="50000">
                    <a:schemeClr val="accent1">
                      <a:lumMod val="60000"/>
                      <a:lumOff val="40000"/>
                    </a:schemeClr>
                  </a:gs>
                  <a:gs pos="100000">
                    <a:schemeClr val="accent1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6E37-42D9-B316-0CA493244FFB}"/>
              </c:ext>
            </c:extLst>
          </c:dPt>
          <c:dLbls>
            <c:dLbl>
              <c:idx val="0"/>
              <c:layout>
                <c:manualLayout>
                  <c:x val="-0.16341133414661196"/>
                  <c:y val="-2.0585662086356854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E37-42D9-B316-0CA49324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Projektbudget!$CO$24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37-42D9-B316-0CA49324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6781728"/>
        <c:axId val="216779008"/>
      </c:barChart>
      <c:catAx>
        <c:axId val="216781728"/>
        <c:scaling>
          <c:orientation val="minMax"/>
        </c:scaling>
        <c:delete val="1"/>
        <c:axPos val="l"/>
        <c:majorTickMark val="out"/>
        <c:minorTickMark val="none"/>
        <c:tickLblPos val="nextTo"/>
        <c:crossAx val="216779008"/>
        <c:crosses val="autoZero"/>
        <c:auto val="1"/>
        <c:lblAlgn val="ctr"/>
        <c:lblOffset val="100"/>
        <c:noMultiLvlLbl val="0"/>
      </c:catAx>
      <c:valAx>
        <c:axId val="216779008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216781728"/>
        <c:crosses val="autoZero"/>
        <c:crossBetween val="between"/>
        <c:majorUnit val="0.2"/>
        <c:minorUnit val="4.0000000000000008E-2"/>
      </c:valAx>
      <c:spPr>
        <a:gradFill>
          <a:gsLst>
            <a:gs pos="0">
              <a:schemeClr val="accent1">
                <a:lumMod val="20000"/>
                <a:lumOff val="80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0800000" scaled="1"/>
        </a:gra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75000"/>
                    </a:schemeClr>
                  </a:gs>
                  <a:gs pos="50000">
                    <a:schemeClr val="accent1">
                      <a:lumMod val="60000"/>
                      <a:lumOff val="40000"/>
                    </a:schemeClr>
                  </a:gs>
                  <a:gs pos="100000">
                    <a:schemeClr val="accent1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832E-4D96-82D4-A08F7FE3F89B}"/>
              </c:ext>
            </c:extLst>
          </c:dPt>
          <c:dLbls>
            <c:dLbl>
              <c:idx val="0"/>
              <c:layout>
                <c:manualLayout>
                  <c:x val="-0.16341133414661196"/>
                  <c:y val="-2.0585662086356854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32E-4D96-82D4-A08F7FE3F8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Projektbudget!$CO$59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32E-4D96-82D4-A08F7FE3F8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6783904"/>
        <c:axId val="216784448"/>
      </c:barChart>
      <c:catAx>
        <c:axId val="216783904"/>
        <c:scaling>
          <c:orientation val="minMax"/>
        </c:scaling>
        <c:delete val="1"/>
        <c:axPos val="l"/>
        <c:majorTickMark val="out"/>
        <c:minorTickMark val="none"/>
        <c:tickLblPos val="nextTo"/>
        <c:crossAx val="216784448"/>
        <c:crosses val="autoZero"/>
        <c:auto val="1"/>
        <c:lblAlgn val="ctr"/>
        <c:lblOffset val="100"/>
        <c:noMultiLvlLbl val="0"/>
      </c:catAx>
      <c:valAx>
        <c:axId val="216784448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216783904"/>
        <c:crosses val="autoZero"/>
        <c:crossBetween val="between"/>
        <c:majorUnit val="0.2"/>
        <c:minorUnit val="4.0000000000000008E-2"/>
      </c:valAx>
      <c:spPr>
        <a:gradFill>
          <a:gsLst>
            <a:gs pos="0">
              <a:schemeClr val="accent1">
                <a:lumMod val="20000"/>
                <a:lumOff val="80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0800000" scaled="1"/>
        </a:gra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75000"/>
                    </a:schemeClr>
                  </a:gs>
                  <a:gs pos="50000">
                    <a:schemeClr val="accent1">
                      <a:lumMod val="60000"/>
                      <a:lumOff val="40000"/>
                    </a:schemeClr>
                  </a:gs>
                  <a:gs pos="100000">
                    <a:schemeClr val="accent1">
                      <a:lumMod val="60000"/>
                      <a:lumOff val="4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76E3-4695-9AEE-1F603C4883BF}"/>
              </c:ext>
            </c:extLst>
          </c:dPt>
          <c:dLbls>
            <c:dLbl>
              <c:idx val="0"/>
              <c:layout>
                <c:manualLayout>
                  <c:x val="-0.16341133414661196"/>
                  <c:y val="-2.0585662086356854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6E3-4695-9AEE-1F603C4883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Projektbudget!$CO$61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E3-4695-9AEE-1F603C4883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6787712"/>
        <c:axId val="216792608"/>
      </c:barChart>
      <c:catAx>
        <c:axId val="216787712"/>
        <c:scaling>
          <c:orientation val="minMax"/>
        </c:scaling>
        <c:delete val="1"/>
        <c:axPos val="l"/>
        <c:majorTickMark val="out"/>
        <c:minorTickMark val="none"/>
        <c:tickLblPos val="nextTo"/>
        <c:crossAx val="216792608"/>
        <c:crosses val="autoZero"/>
        <c:auto val="1"/>
        <c:lblAlgn val="ctr"/>
        <c:lblOffset val="100"/>
        <c:noMultiLvlLbl val="0"/>
      </c:catAx>
      <c:valAx>
        <c:axId val="216792608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216787712"/>
        <c:crosses val="autoZero"/>
        <c:crossBetween val="between"/>
        <c:majorUnit val="0.2"/>
        <c:minorUnit val="4.0000000000000008E-2"/>
      </c:valAx>
      <c:spPr>
        <a:gradFill>
          <a:gsLst>
            <a:gs pos="0">
              <a:schemeClr val="accent1">
                <a:lumMod val="40000"/>
                <a:lumOff val="60000"/>
              </a:schemeClr>
            </a:gs>
            <a:gs pos="50000">
              <a:schemeClr val="accent1">
                <a:lumMod val="60000"/>
                <a:lumOff val="40000"/>
              </a:schemeClr>
            </a:gs>
            <a:gs pos="100000">
              <a:schemeClr val="accent1">
                <a:lumMod val="75000"/>
              </a:schemeClr>
            </a:gs>
          </a:gsLst>
          <a:lin ang="10800000" scaled="1"/>
        </a:gra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304402409049613E-2"/>
          <c:y val="0.36781609195402298"/>
          <c:w val="0.93344192891674238"/>
          <c:h val="0.4942528735632184"/>
        </c:manualLayout>
      </c:layout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accent4">
                    <a:lumMod val="75000"/>
                  </a:schemeClr>
                </a:gs>
                <a:gs pos="50000">
                  <a:schemeClr val="accent4">
                    <a:lumMod val="60000"/>
                    <a:lumOff val="40000"/>
                  </a:schemeClr>
                </a:gs>
                <a:gs pos="100000">
                  <a:schemeClr val="accent4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4">
                      <a:lumMod val="75000"/>
                    </a:schemeClr>
                  </a:gs>
                  <a:gs pos="50000">
                    <a:schemeClr val="accent4">
                      <a:lumMod val="60000"/>
                      <a:lumOff val="40000"/>
                    </a:schemeClr>
                  </a:gs>
                  <a:gs pos="100000">
                    <a:schemeClr val="accent4">
                      <a:lumMod val="20000"/>
                      <a:lumOff val="8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6378-4CD2-8A0F-78AEF0840CBE}"/>
              </c:ext>
            </c:extLst>
          </c:dPt>
          <c:dLbls>
            <c:dLbl>
              <c:idx val="0"/>
              <c:layout>
                <c:manualLayout>
                  <c:x val="-0.11333333333333333"/>
                  <c:y val="-1.5478821875458887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378-4CD2-8A0F-78AEF0840CB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>
                    <a:solidFill>
                      <a:schemeClr val="bg1"/>
                    </a:solidFill>
                    <a:latin typeface="Calibri Light" panose="020F0302020204030204" pitchFamily="34" charset="0"/>
                    <a:cs typeface="Calibri Light" panose="020F030202020403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Detailplan!$J$14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78-4CD2-8A0F-78AEF0840C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6793696"/>
        <c:axId val="216792064"/>
      </c:barChart>
      <c:catAx>
        <c:axId val="216793696"/>
        <c:scaling>
          <c:orientation val="minMax"/>
        </c:scaling>
        <c:delete val="1"/>
        <c:axPos val="l"/>
        <c:majorTickMark val="out"/>
        <c:minorTickMark val="none"/>
        <c:tickLblPos val="nextTo"/>
        <c:crossAx val="216792064"/>
        <c:crosses val="autoZero"/>
        <c:auto val="1"/>
        <c:lblAlgn val="ctr"/>
        <c:lblOffset val="100"/>
        <c:noMultiLvlLbl val="0"/>
      </c:catAx>
      <c:valAx>
        <c:axId val="216792064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216793696"/>
        <c:crosses val="autoZero"/>
        <c:crossBetween val="between"/>
        <c:majorUnit val="0.2"/>
        <c:minorUnit val="4.0000000000000008E-2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Logo!$D$26</c:f>
              <c:strCache>
                <c:ptCount val="1"/>
              </c:strCache>
            </c:strRef>
          </c:tx>
          <c:spPr>
            <a:gradFill>
              <a:gsLst>
                <a:gs pos="0">
                  <a:srgbClr val="C00000"/>
                </a:gs>
                <a:gs pos="100000">
                  <a:srgbClr val="00B050"/>
                </a:gs>
              </a:gsLst>
              <a:lin ang="5400000" scaled="1"/>
            </a:gradFill>
          </c:spPr>
          <c:dPt>
            <c:idx val="0"/>
            <c:bubble3D val="0"/>
            <c:spPr>
              <a:gradFill>
                <a:gsLst>
                  <a:gs pos="0">
                    <a:srgbClr val="C00000"/>
                  </a:gs>
                  <a:gs pos="100000">
                    <a:srgbClr val="FFC000"/>
                  </a:gs>
                  <a:gs pos="52000">
                    <a:srgbClr val="FF0000"/>
                  </a:gs>
                </a:gsLst>
                <a:lin ang="18900000" scaled="1"/>
              </a:gradFill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65C-4793-93B2-5E9FE67FD650}"/>
              </c:ext>
            </c:extLst>
          </c:dPt>
          <c:dPt>
            <c:idx val="1"/>
            <c:bubble3D val="0"/>
            <c:spPr>
              <a:gradFill flip="none" rotWithShape="1">
                <a:gsLst>
                  <a:gs pos="0">
                    <a:srgbClr val="FFC000"/>
                  </a:gs>
                  <a:gs pos="100000">
                    <a:srgbClr val="92D050"/>
                  </a:gs>
                  <a:gs pos="54000">
                    <a:srgbClr val="FFFF00"/>
                  </a:gs>
                </a:gsLst>
                <a:lin ang="0" scaled="1"/>
                <a:tileRect/>
              </a:gradFill>
              <a:ln w="127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65C-4793-93B2-5E9FE67FD650}"/>
              </c:ext>
            </c:extLst>
          </c:dPt>
          <c:dPt>
            <c:idx val="2"/>
            <c:bubble3D val="0"/>
            <c:spPr>
              <a:gradFill flip="none" rotWithShape="1">
                <a:gsLst>
                  <a:gs pos="0">
                    <a:srgbClr val="92D050"/>
                  </a:gs>
                  <a:gs pos="100000">
                    <a:srgbClr val="006600"/>
                  </a:gs>
                </a:gsLst>
                <a:lin ang="5400000" scaled="1"/>
                <a:tileRect/>
              </a:gradFill>
              <a:ln w="127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65C-4793-93B2-5E9FE67FD650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65C-4793-93B2-5E9FE67FD650}"/>
              </c:ext>
            </c:extLst>
          </c:dPt>
          <c:cat>
            <c:strRef>
              <c:f>Logo!$B$15:$B$18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Leer</c:v>
                </c:pt>
              </c:strCache>
            </c:strRef>
          </c:cat>
          <c:val>
            <c:numRef>
              <c:f>Logo!$D$15:$D$18</c:f>
              <c:numCache>
                <c:formatCode>0%</c:formatCode>
                <c:ptCount val="4"/>
                <c:pt idx="0">
                  <c:v>0.5</c:v>
                </c:pt>
                <c:pt idx="1">
                  <c:v>0.3</c:v>
                </c:pt>
                <c:pt idx="2">
                  <c:v>0.2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65C-4793-93B2-5E9FE67FD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4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0"/>
        <c:ser>
          <c:idx val="0"/>
          <c:order val="0"/>
          <c:tx>
            <c:strRef>
              <c:f>Projektstand!$P$9</c:f>
              <c:strCache>
                <c:ptCount val="1"/>
                <c:pt idx="0">
                  <c:v>88%</c:v>
                </c:pt>
              </c:strCache>
            </c:strRef>
          </c:tx>
          <c:spPr>
            <a:solidFill>
              <a:schemeClr val="accent1"/>
            </a:solidFill>
            <a:ln w="25400">
              <a:noFill/>
            </a:ln>
            <a:effectLst/>
          </c:spPr>
          <c:explosion val="20"/>
          <c:dPt>
            <c:idx val="0"/>
            <c:bubble3D val="0"/>
            <c:spPr>
              <a:noFill/>
              <a:ln w="254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789-4F18-BDA4-34EA275FE7C2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38100" cap="flat" cmpd="sng">
                <a:solidFill>
                  <a:schemeClr val="tx1"/>
                </a:solidFill>
                <a:round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789-4F18-BDA4-34EA275FE7C2}"/>
              </c:ext>
            </c:extLst>
          </c:dPt>
          <c:dPt>
            <c:idx val="2"/>
            <c:bubble3D val="0"/>
            <c:spPr>
              <a:noFill/>
              <a:ln w="254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789-4F18-BDA4-34EA275FE7C2}"/>
              </c:ext>
            </c:extLst>
          </c:dPt>
          <c:cat>
            <c:strRef>
              <c:f>Projektstand!$O$9:$O$11</c:f>
              <c:strCache>
                <c:ptCount val="3"/>
                <c:pt idx="0">
                  <c:v>Wert</c:v>
                </c:pt>
                <c:pt idx="1">
                  <c:v>Breite</c:v>
                </c:pt>
                <c:pt idx="2">
                  <c:v>Ende</c:v>
                </c:pt>
              </c:strCache>
            </c:strRef>
          </c:cat>
          <c:val>
            <c:numRef>
              <c:f>Projektstand!$P$9:$P$11</c:f>
              <c:numCache>
                <c:formatCode>0%</c:formatCode>
                <c:ptCount val="3"/>
                <c:pt idx="0">
                  <c:v>0.875</c:v>
                </c:pt>
                <c:pt idx="1">
                  <c:v>3.0000000000000001E-3</c:v>
                </c:pt>
                <c:pt idx="2">
                  <c:v>1.1220000000000001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789-4F18-BDA4-34EA275FE7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accent4">
                    <a:lumMod val="75000"/>
                  </a:schemeClr>
                </a:gs>
                <a:gs pos="50000">
                  <a:schemeClr val="accent4">
                    <a:lumMod val="60000"/>
                    <a:lumOff val="40000"/>
                  </a:schemeClr>
                </a:gs>
                <a:gs pos="100000">
                  <a:schemeClr val="accent4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3">
                      <a:lumMod val="60000"/>
                      <a:lumOff val="40000"/>
                    </a:schemeClr>
                  </a:gs>
                  <a:gs pos="50000">
                    <a:schemeClr val="accent3">
                      <a:lumMod val="40000"/>
                      <a:lumOff val="60000"/>
                    </a:schemeClr>
                  </a:gs>
                  <a:gs pos="100000">
                    <a:schemeClr val="accent3">
                      <a:lumMod val="20000"/>
                      <a:lumOff val="8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5CE1-4863-BC45-351A866C2B28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Detailplan!$J$14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E1-4863-BC45-351A866C2B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7646480"/>
        <c:axId val="217637232"/>
      </c:barChart>
      <c:catAx>
        <c:axId val="217646480"/>
        <c:scaling>
          <c:orientation val="minMax"/>
        </c:scaling>
        <c:delete val="1"/>
        <c:axPos val="l"/>
        <c:majorTickMark val="out"/>
        <c:minorTickMark val="none"/>
        <c:tickLblPos val="nextTo"/>
        <c:crossAx val="217637232"/>
        <c:crosses val="autoZero"/>
        <c:auto val="1"/>
        <c:lblAlgn val="ctr"/>
        <c:lblOffset val="100"/>
        <c:noMultiLvlLbl val="0"/>
      </c:catAx>
      <c:valAx>
        <c:axId val="217637232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217646480"/>
        <c:crosses val="autoZero"/>
        <c:crossBetween val="between"/>
        <c:majorUnit val="0.2"/>
        <c:minorUnit val="4.0000000000000008E-2"/>
      </c:valAx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/>
      </a:pPr>
      <a:endParaRPr lang="fr-FR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3">
                      <a:lumMod val="75000"/>
                    </a:schemeClr>
                  </a:gs>
                  <a:gs pos="50000">
                    <a:schemeClr val="accent3">
                      <a:lumMod val="60000"/>
                      <a:lumOff val="40000"/>
                    </a:schemeClr>
                  </a:gs>
                  <a:gs pos="100000">
                    <a:schemeClr val="accent3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704C-44D4-9803-ED2FAE70FC49}"/>
              </c:ext>
            </c:extLst>
          </c:dPt>
          <c:dLbls>
            <c:dLbl>
              <c:idx val="0"/>
              <c:layout>
                <c:manualLayout>
                  <c:x val="-0.11333333333333333"/>
                  <c:y val="-1.5478821875458887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04C-44D4-9803-ED2FAE70FC4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0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Projektbudget!$CO$24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04C-44D4-9803-ED2FAE70FC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7644304"/>
        <c:axId val="217639952"/>
      </c:barChart>
      <c:catAx>
        <c:axId val="217644304"/>
        <c:scaling>
          <c:orientation val="minMax"/>
        </c:scaling>
        <c:delete val="1"/>
        <c:axPos val="l"/>
        <c:majorTickMark val="out"/>
        <c:minorTickMark val="none"/>
        <c:tickLblPos val="nextTo"/>
        <c:crossAx val="217639952"/>
        <c:crosses val="autoZero"/>
        <c:auto val="1"/>
        <c:lblAlgn val="ctr"/>
        <c:lblOffset val="100"/>
        <c:noMultiLvlLbl val="0"/>
      </c:catAx>
      <c:valAx>
        <c:axId val="217639952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217644304"/>
        <c:crosses val="autoZero"/>
        <c:crossBetween val="between"/>
        <c:majorUnit val="0.2"/>
        <c:minorUnit val="4.0000000000000008E-2"/>
      </c:valAx>
      <c:spPr>
        <a:gradFill>
          <a:gsLst>
            <a:gs pos="0">
              <a:schemeClr val="accent3">
                <a:lumMod val="60000"/>
                <a:lumOff val="40000"/>
              </a:schemeClr>
            </a:gs>
            <a:gs pos="50000">
              <a:schemeClr val="accent3">
                <a:lumMod val="40000"/>
                <a:lumOff val="6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0" scaled="1"/>
        </a:gra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3">
                      <a:lumMod val="75000"/>
                    </a:schemeClr>
                  </a:gs>
                  <a:gs pos="50000">
                    <a:schemeClr val="accent3">
                      <a:lumMod val="60000"/>
                      <a:lumOff val="40000"/>
                    </a:schemeClr>
                  </a:gs>
                  <a:gs pos="100000">
                    <a:schemeClr val="accent3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1F86-4F2E-B9B7-209C57DB0900}"/>
              </c:ext>
            </c:extLst>
          </c:dPt>
          <c:dLbls>
            <c:dLbl>
              <c:idx val="0"/>
              <c:layout>
                <c:manualLayout>
                  <c:x val="-0.11333333333333333"/>
                  <c:y val="-1.5478821875458887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6-4F2E-B9B7-209C57DB090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0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Projektbudget!$CO$59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F86-4F2E-B9B7-209C57DB09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7640496"/>
        <c:axId val="217634512"/>
      </c:barChart>
      <c:catAx>
        <c:axId val="217640496"/>
        <c:scaling>
          <c:orientation val="minMax"/>
        </c:scaling>
        <c:delete val="1"/>
        <c:axPos val="l"/>
        <c:majorTickMark val="out"/>
        <c:minorTickMark val="none"/>
        <c:tickLblPos val="nextTo"/>
        <c:crossAx val="217634512"/>
        <c:crosses val="autoZero"/>
        <c:auto val="1"/>
        <c:lblAlgn val="ctr"/>
        <c:lblOffset val="100"/>
        <c:noMultiLvlLbl val="0"/>
      </c:catAx>
      <c:valAx>
        <c:axId val="217634512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217640496"/>
        <c:crosses val="autoZero"/>
        <c:crossBetween val="between"/>
        <c:majorUnit val="0.2"/>
        <c:minorUnit val="4.0000000000000008E-2"/>
      </c:valAx>
      <c:spPr>
        <a:gradFill>
          <a:gsLst>
            <a:gs pos="0">
              <a:schemeClr val="accent3">
                <a:lumMod val="60000"/>
                <a:lumOff val="40000"/>
              </a:schemeClr>
            </a:gs>
            <a:gs pos="50000">
              <a:schemeClr val="accent3">
                <a:lumMod val="40000"/>
                <a:lumOff val="6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0" scaled="1"/>
        </a:gra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3">
                      <a:lumMod val="75000"/>
                    </a:schemeClr>
                  </a:gs>
                  <a:gs pos="50000">
                    <a:schemeClr val="accent3">
                      <a:lumMod val="60000"/>
                      <a:lumOff val="40000"/>
                    </a:schemeClr>
                  </a:gs>
                  <a:gs pos="100000">
                    <a:schemeClr val="accent3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B89B-4147-8087-19C13D9F6D79}"/>
              </c:ext>
            </c:extLst>
          </c:dPt>
          <c:dLbls>
            <c:dLbl>
              <c:idx val="0"/>
              <c:layout>
                <c:manualLayout>
                  <c:x val="-0.11333333333333333"/>
                  <c:y val="-1.5478821875458887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89B-4147-8087-19C13D9F6D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0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Projektbudget!$CO$61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9B-4147-8087-19C13D9F6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7635056"/>
        <c:axId val="217643760"/>
      </c:barChart>
      <c:catAx>
        <c:axId val="217635056"/>
        <c:scaling>
          <c:orientation val="minMax"/>
        </c:scaling>
        <c:delete val="1"/>
        <c:axPos val="l"/>
        <c:majorTickMark val="out"/>
        <c:minorTickMark val="none"/>
        <c:tickLblPos val="nextTo"/>
        <c:crossAx val="217643760"/>
        <c:crosses val="autoZero"/>
        <c:auto val="1"/>
        <c:lblAlgn val="ctr"/>
        <c:lblOffset val="100"/>
        <c:noMultiLvlLbl val="0"/>
      </c:catAx>
      <c:valAx>
        <c:axId val="217643760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217635056"/>
        <c:crosses val="autoZero"/>
        <c:crossBetween val="between"/>
        <c:majorUnit val="0.2"/>
        <c:minorUnit val="4.0000000000000008E-2"/>
      </c:valAx>
      <c:spPr>
        <a:gradFill>
          <a:gsLst>
            <a:gs pos="0">
              <a:schemeClr val="accent3">
                <a:lumMod val="60000"/>
                <a:lumOff val="40000"/>
              </a:schemeClr>
            </a:gs>
            <a:gs pos="50000">
              <a:schemeClr val="accent3">
                <a:lumMod val="40000"/>
                <a:lumOff val="6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0" scaled="1"/>
        </a:gra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4">
                      <a:lumMod val="75000"/>
                    </a:schemeClr>
                  </a:gs>
                  <a:gs pos="50000">
                    <a:schemeClr val="accent4">
                      <a:lumMod val="60000"/>
                      <a:lumOff val="40000"/>
                    </a:schemeClr>
                  </a:gs>
                  <a:gs pos="100000">
                    <a:schemeClr val="accent4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8EE7-43D5-8552-B19211EC9515}"/>
              </c:ext>
            </c:extLst>
          </c:dPt>
          <c:dLbls>
            <c:dLbl>
              <c:idx val="0"/>
              <c:layout>
                <c:manualLayout>
                  <c:x val="-0.11333333333333333"/>
                  <c:y val="-1.5478821875458887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EE7-43D5-8552-B19211EC951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0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Projektbudget!$CO$24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E7-43D5-8552-B19211EC95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7642672"/>
        <c:axId val="217633968"/>
      </c:barChart>
      <c:catAx>
        <c:axId val="217642672"/>
        <c:scaling>
          <c:orientation val="minMax"/>
        </c:scaling>
        <c:delete val="1"/>
        <c:axPos val="l"/>
        <c:majorTickMark val="out"/>
        <c:minorTickMark val="none"/>
        <c:tickLblPos val="nextTo"/>
        <c:crossAx val="217633968"/>
        <c:crosses val="autoZero"/>
        <c:auto val="1"/>
        <c:lblAlgn val="ctr"/>
        <c:lblOffset val="100"/>
        <c:noMultiLvlLbl val="0"/>
      </c:catAx>
      <c:valAx>
        <c:axId val="217633968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217642672"/>
        <c:crosses val="autoZero"/>
        <c:crossBetween val="between"/>
        <c:majorUnit val="0.2"/>
        <c:minorUnit val="4.0000000000000008E-2"/>
      </c:valAx>
      <c:spPr>
        <a:gradFill>
          <a:gsLst>
            <a:gs pos="0">
              <a:schemeClr val="accent4">
                <a:lumMod val="60000"/>
                <a:lumOff val="40000"/>
              </a:schemeClr>
            </a:gs>
            <a:gs pos="50000">
              <a:schemeClr val="accent4">
                <a:lumMod val="40000"/>
                <a:lumOff val="60000"/>
              </a:schemeClr>
            </a:gs>
            <a:gs pos="100000">
              <a:schemeClr val="accent4">
                <a:lumMod val="20000"/>
                <a:lumOff val="80000"/>
              </a:schemeClr>
            </a:gs>
          </a:gsLst>
          <a:lin ang="0" scaled="1"/>
        </a:gra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4">
                      <a:lumMod val="75000"/>
                    </a:schemeClr>
                  </a:gs>
                  <a:gs pos="50000">
                    <a:schemeClr val="accent4">
                      <a:lumMod val="60000"/>
                      <a:lumOff val="40000"/>
                    </a:schemeClr>
                  </a:gs>
                  <a:gs pos="100000">
                    <a:schemeClr val="accent4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F73B-44E7-B142-1EA3A7E2D45F}"/>
              </c:ext>
            </c:extLst>
          </c:dPt>
          <c:dLbls>
            <c:dLbl>
              <c:idx val="0"/>
              <c:layout>
                <c:manualLayout>
                  <c:x val="-0.11333333333333333"/>
                  <c:y val="-1.5478821875458887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73B-44E7-B142-1EA3A7E2D4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0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Projektbudget!$CO$59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73B-44E7-B142-1EA3A7E2D4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7637776"/>
        <c:axId val="217645936"/>
      </c:barChart>
      <c:catAx>
        <c:axId val="217637776"/>
        <c:scaling>
          <c:orientation val="minMax"/>
        </c:scaling>
        <c:delete val="1"/>
        <c:axPos val="l"/>
        <c:majorTickMark val="out"/>
        <c:minorTickMark val="none"/>
        <c:tickLblPos val="nextTo"/>
        <c:crossAx val="217645936"/>
        <c:crosses val="autoZero"/>
        <c:auto val="1"/>
        <c:lblAlgn val="ctr"/>
        <c:lblOffset val="100"/>
        <c:noMultiLvlLbl val="0"/>
      </c:catAx>
      <c:valAx>
        <c:axId val="217645936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217637776"/>
        <c:crosses val="autoZero"/>
        <c:crossBetween val="between"/>
        <c:majorUnit val="0.2"/>
        <c:minorUnit val="4.0000000000000008E-2"/>
      </c:valAx>
      <c:spPr>
        <a:gradFill>
          <a:gsLst>
            <a:gs pos="0">
              <a:schemeClr val="accent4">
                <a:lumMod val="60000"/>
                <a:lumOff val="40000"/>
              </a:schemeClr>
            </a:gs>
            <a:gs pos="50000">
              <a:schemeClr val="accent4">
                <a:lumMod val="40000"/>
                <a:lumOff val="60000"/>
              </a:schemeClr>
            </a:gs>
            <a:gs pos="100000">
              <a:schemeClr val="accent4">
                <a:lumMod val="20000"/>
                <a:lumOff val="80000"/>
              </a:schemeClr>
            </a:gs>
          </a:gsLst>
          <a:lin ang="0" scaled="1"/>
        </a:gra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4">
                      <a:lumMod val="75000"/>
                    </a:schemeClr>
                  </a:gs>
                  <a:gs pos="50000">
                    <a:schemeClr val="accent4">
                      <a:lumMod val="60000"/>
                      <a:lumOff val="40000"/>
                    </a:schemeClr>
                  </a:gs>
                  <a:gs pos="100000">
                    <a:schemeClr val="accent4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6E60-4545-B815-C3451B842863}"/>
              </c:ext>
            </c:extLst>
          </c:dPt>
          <c:dLbls>
            <c:dLbl>
              <c:idx val="0"/>
              <c:layout>
                <c:manualLayout>
                  <c:x val="-0.11333333333333333"/>
                  <c:y val="-1.5478821875458887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E60-4545-B815-C3451B84286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0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Projektbudget!$CO$61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60-4545-B815-C3451B8428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7638320"/>
        <c:axId val="217638864"/>
      </c:barChart>
      <c:catAx>
        <c:axId val="217638320"/>
        <c:scaling>
          <c:orientation val="minMax"/>
        </c:scaling>
        <c:delete val="1"/>
        <c:axPos val="l"/>
        <c:majorTickMark val="out"/>
        <c:minorTickMark val="none"/>
        <c:tickLblPos val="nextTo"/>
        <c:crossAx val="217638864"/>
        <c:crosses val="autoZero"/>
        <c:auto val="1"/>
        <c:lblAlgn val="ctr"/>
        <c:lblOffset val="100"/>
        <c:noMultiLvlLbl val="0"/>
      </c:catAx>
      <c:valAx>
        <c:axId val="217638864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217638320"/>
        <c:crosses val="autoZero"/>
        <c:crossBetween val="between"/>
        <c:majorUnit val="0.2"/>
        <c:minorUnit val="4.0000000000000008E-2"/>
      </c:valAx>
      <c:spPr>
        <a:gradFill>
          <a:gsLst>
            <a:gs pos="0">
              <a:schemeClr val="accent4">
                <a:lumMod val="60000"/>
                <a:lumOff val="40000"/>
              </a:schemeClr>
            </a:gs>
            <a:gs pos="50000">
              <a:schemeClr val="accent4">
                <a:lumMod val="40000"/>
                <a:lumOff val="60000"/>
              </a:schemeClr>
            </a:gs>
            <a:gs pos="100000">
              <a:schemeClr val="accent4">
                <a:lumMod val="20000"/>
                <a:lumOff val="80000"/>
              </a:schemeClr>
            </a:gs>
          </a:gsLst>
          <a:lin ang="0" scaled="1"/>
        </a:gra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988473156183941E-2"/>
          <c:y val="1.8661835657191927E-2"/>
          <c:w val="0.8940788423344892"/>
          <c:h val="0.93655514293398667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CB9-4EA1-8760-27E1EFDCAD3F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CB9-4EA1-8760-27E1EFDCAD3F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CB9-4EA1-8760-27E1EFDCAD3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CB9-4EA1-8760-27E1EFDCAD3F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CB9-4EA1-8760-27E1EFDCAD3F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CB9-4EA1-8760-27E1EFDCAD3F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CB9-4EA1-8760-27E1EFDCAD3F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CB9-4EA1-8760-27E1EFDCAD3F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CB9-4EA1-8760-27E1EFDCAD3F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CB9-4EA1-8760-27E1EFDCAD3F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CB9-4EA1-8760-27E1EFDCAD3F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CB9-4EA1-8760-27E1EFDCAD3F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CB9-4EA1-8760-27E1EFDCAD3F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CB9-4EA1-8760-27E1EFDCAD3F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ACB9-4EA1-8760-27E1EFDCAD3F}"/>
              </c:ext>
            </c:extLst>
          </c:dPt>
          <c:dLbls>
            <c:dLbl>
              <c:idx val="0"/>
              <c:layout>
                <c:manualLayout>
                  <c:x val="-8.3332079909562942E-2"/>
                  <c:y val="0"/>
                </c:manualLayout>
              </c:layout>
              <c:tx>
                <c:strRef>
                  <c:f>Stakeholder!$B$6</c:f>
                  <c:strCache>
                    <c:ptCount val="1"/>
                    <c:pt idx="0">
                      <c:v>s1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{EE7B4A4D-F74B-439C-8AE5-C7AC2EE9897F}</c15:txfldGUID>
                      <c15:f>Stakeholder!$B$6</c15:f>
                      <c15:dlblFieldTableCache>
                        <c:ptCount val="1"/>
                        <c:pt idx="0">
                          <c:v>s1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ACB9-4EA1-8760-27E1EFDCAD3F}"/>
                </c:ext>
              </c:extLst>
            </c:dLbl>
            <c:dLbl>
              <c:idx val="1"/>
              <c:layout>
                <c:manualLayout>
                  <c:x val="-8.7114689466370729E-2"/>
                  <c:y val="0"/>
                </c:manualLayout>
              </c:layout>
              <c:tx>
                <c:strRef>
                  <c:f>Stakeholder!$B$7</c:f>
                  <c:strCache>
                    <c:ptCount val="1"/>
                    <c:pt idx="0">
                      <c:v>s2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{BDF8DDDD-9444-43A7-B808-6DCAC94F5ED0}</c15:txfldGUID>
                      <c15:f>Stakeholder!$B$7</c15:f>
                      <c15:dlblFieldTableCache>
                        <c:ptCount val="1"/>
                        <c:pt idx="0">
                          <c:v>s2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ACB9-4EA1-8760-27E1EFDCAD3F}"/>
                </c:ext>
              </c:extLst>
            </c:dLbl>
            <c:dLbl>
              <c:idx val="2"/>
              <c:layout>
                <c:manualLayout>
                  <c:x val="-0.1351955288959352"/>
                  <c:y val="-1.3698139364626174E-3"/>
                </c:manualLayout>
              </c:layout>
              <c:tx>
                <c:strRef>
                  <c:f>Stakeholder!$B$8</c:f>
                  <c:strCache>
                    <c:ptCount val="1"/>
                    <c:pt idx="0">
                      <c:v>s3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{DD2C3E34-3ADA-4676-866A-B909276C5629}</c15:txfldGUID>
                      <c15:f>Stakeholder!$B$8</c15:f>
                      <c15:dlblFieldTableCache>
                        <c:ptCount val="1"/>
                        <c:pt idx="0">
                          <c:v>s3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ACB9-4EA1-8760-27E1EFDCAD3F}"/>
                </c:ext>
              </c:extLst>
            </c:dLbl>
            <c:dLbl>
              <c:idx val="3"/>
              <c:layout>
                <c:manualLayout>
                  <c:x val="-9.0939443846193138E-2"/>
                  <c:y val="-2.5517730165035011E-3"/>
                </c:manualLayout>
              </c:layout>
              <c:tx>
                <c:strRef>
                  <c:f>Stakeholder!$B$9</c:f>
                  <c:strCache>
                    <c:ptCount val="1"/>
                    <c:pt idx="0">
                      <c:v>s4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{023D3F33-1749-4334-88B9-08999D1F6FF3}</c15:txfldGUID>
                      <c15:f>Stakeholder!$B$9</c15:f>
                      <c15:dlblFieldTableCache>
                        <c:ptCount val="1"/>
                        <c:pt idx="0">
                          <c:v>s4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ACB9-4EA1-8760-27E1EFDCAD3F}"/>
                </c:ext>
              </c:extLst>
            </c:dLbl>
            <c:dLbl>
              <c:idx val="4"/>
              <c:layout>
                <c:manualLayout>
                  <c:x val="-8.5048997452099734E-2"/>
                  <c:y val="2.083226243603895E-3"/>
                </c:manualLayout>
              </c:layout>
              <c:tx>
                <c:strRef>
                  <c:f>Stakeholder!$B$10</c:f>
                  <c:strCache>
                    <c:ptCount val="1"/>
                    <c:pt idx="0">
                      <c:v>s5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{C4562924-E59C-4A68-B2CF-D1E46EFA1C62}</c15:txfldGUID>
                      <c15:f>Stakeholder!$B$10</c15:f>
                      <c15:dlblFieldTableCache>
                        <c:ptCount val="1"/>
                        <c:pt idx="0">
                          <c:v>s5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ACB9-4EA1-8760-27E1EFDCAD3F}"/>
                </c:ext>
              </c:extLst>
            </c:dLbl>
            <c:dLbl>
              <c:idx val="5"/>
              <c:layout>
                <c:manualLayout>
                  <c:x val="-8.6707239870015246E-2"/>
                  <c:y val="-1.0766606696418141E-3"/>
                </c:manualLayout>
              </c:layout>
              <c:tx>
                <c:strRef>
                  <c:f>Stakeholder!$B$11</c:f>
                  <c:strCache>
                    <c:ptCount val="1"/>
                    <c:pt idx="0">
                      <c:v>s6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{2673104A-13B3-4684-9B9A-BC176287CB70}</c15:txfldGUID>
                      <c15:f>Stakeholder!$B$11</c15:f>
                      <c15:dlblFieldTableCache>
                        <c:ptCount val="1"/>
                        <c:pt idx="0">
                          <c:v>s6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ACB9-4EA1-8760-27E1EFDCAD3F}"/>
                </c:ext>
              </c:extLst>
            </c:dLbl>
            <c:dLbl>
              <c:idx val="6"/>
              <c:tx>
                <c:strRef>
                  <c:f>Stakeholder!$B$12</c:f>
                  <c:strCache>
                    <c:ptCount val="1"/>
                    <c:pt idx="0">
                      <c:v>s7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{EF19079B-A3FC-43CE-8242-8CAB59EFB611}</c15:txfldGUID>
                      <c15:f>Stakeholder!$B$12</c15:f>
                      <c15:dlblFieldTableCache>
                        <c:ptCount val="1"/>
                        <c:pt idx="0">
                          <c:v>s7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ACB9-4EA1-8760-27E1EFDCAD3F}"/>
                </c:ext>
              </c:extLst>
            </c:dLbl>
            <c:dLbl>
              <c:idx val="7"/>
              <c:layout>
                <c:manualLayout>
                  <c:x val="-9.2260080915081755E-2"/>
                  <c:y val="-6.8713443460516992E-3"/>
                </c:manualLayout>
              </c:layout>
              <c:tx>
                <c:strRef>
                  <c:f>Stakeholder!$B$13</c:f>
                  <c:strCache>
                    <c:ptCount val="1"/>
                    <c:pt idx="0">
                      <c:v>s8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{5605FDE0-AD6F-42B1-8442-937ABE743FC9}</c15:txfldGUID>
                      <c15:f>Stakeholder!$B$13</c15:f>
                      <c15:dlblFieldTableCache>
                        <c:ptCount val="1"/>
                        <c:pt idx="0">
                          <c:v>s8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ACB9-4EA1-8760-27E1EFDCAD3F}"/>
                </c:ext>
              </c:extLst>
            </c:dLbl>
            <c:dLbl>
              <c:idx val="8"/>
              <c:layout>
                <c:manualLayout>
                  <c:x val="-8.2850616260068441E-2"/>
                  <c:y val="2.9148656121248937E-3"/>
                </c:manualLayout>
              </c:layout>
              <c:tx>
                <c:strRef>
                  <c:f>Stakeholder!$B$14</c:f>
                  <c:strCache>
                    <c:ptCount val="1"/>
                    <c:pt idx="0">
                      <c:v>s9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{4D3A35D1-5DB2-48C2-8C5D-28FABC7DADFA}</c15:txfldGUID>
                      <c15:f>Stakeholder!$B$14</c15:f>
                      <c15:dlblFieldTableCache>
                        <c:ptCount val="1"/>
                        <c:pt idx="0">
                          <c:v>s9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ACB9-4EA1-8760-27E1EFDCAD3F}"/>
                </c:ext>
              </c:extLst>
            </c:dLbl>
            <c:dLbl>
              <c:idx val="9"/>
              <c:layout>
                <c:manualLayout>
                  <c:x val="-8.90816464359106E-2"/>
                  <c:y val="-3.9564787339268779E-3"/>
                </c:manualLayout>
              </c:layout>
              <c:tx>
                <c:strRef>
                  <c:f>Stakeholder!$B$15</c:f>
                  <c:strCache>
                    <c:ptCount val="1"/>
                    <c:pt idx="0">
                      <c:v>s10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{273A5149-C4D6-4905-968B-AF3FC6D56572}</c15:txfldGUID>
                      <c15:f>Stakeholder!$B$15</c15:f>
                      <c15:dlblFieldTableCache>
                        <c:ptCount val="1"/>
                        <c:pt idx="0">
                          <c:v>s10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ACB9-4EA1-8760-27E1EFDCAD3F}"/>
                </c:ext>
              </c:extLst>
            </c:dLbl>
            <c:dLbl>
              <c:idx val="10"/>
              <c:layout>
                <c:manualLayout>
                  <c:x val="-9.5040150017699401E-2"/>
                  <c:y val="2.0132869148032691E-3"/>
                </c:manualLayout>
              </c:layout>
              <c:tx>
                <c:strRef>
                  <c:f>Stakeholder!$B$16</c:f>
                  <c:strCache>
                    <c:ptCount val="1"/>
                    <c:pt idx="0">
                      <c:v>s11</c:v>
                    </c:pt>
                  </c:strCache>
                </c:strRef>
              </c:tx>
              <c:numFmt formatCode="General" sourceLinked="0"/>
              <c:spPr>
                <a:ln>
                  <a:noFill/>
                </a:ln>
              </c:spPr>
              <c:txPr>
                <a:bodyPr rot="0"/>
                <a:lstStyle/>
                <a:p>
                  <a:pPr algn="ctr" rtl="0">
                    <a:defRPr/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{95318F7F-07A7-42E3-AAB6-57415F091CD8}</c15:txfldGUID>
                      <c15:f>Stakeholder!$B$16</c15:f>
                      <c15:dlblFieldTableCache>
                        <c:ptCount val="1"/>
                        <c:pt idx="0">
                          <c:v>s11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ACB9-4EA1-8760-27E1EFDCAD3F}"/>
                </c:ext>
              </c:extLst>
            </c:dLbl>
            <c:dLbl>
              <c:idx val="11"/>
              <c:layout>
                <c:manualLayout>
                  <c:x val="-9.0842198017823242E-2"/>
                  <c:y val="9.3662624516147313E-4"/>
                </c:manualLayout>
              </c:layout>
              <c:tx>
                <c:strRef>
                  <c:f>Stakeholder!$B$17</c:f>
                  <c:strCache>
                    <c:ptCount val="1"/>
                    <c:pt idx="0">
                      <c:v>s12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{8FCF1980-7008-487F-B5A6-6D956EEAF0BA}</c15:txfldGUID>
                      <c15:f>Stakeholder!$B$17</c15:f>
                      <c15:dlblFieldTableCache>
                        <c:ptCount val="1"/>
                        <c:pt idx="0">
                          <c:v>s12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ACB9-4EA1-8760-27E1EFDCAD3F}"/>
                </c:ext>
              </c:extLst>
            </c:dLbl>
            <c:dLbl>
              <c:idx val="12"/>
              <c:layout>
                <c:manualLayout>
                  <c:x val="-8.8014771834927522E-2"/>
                  <c:y val="9.3662624516141881E-4"/>
                </c:manualLayout>
              </c:layout>
              <c:tx>
                <c:strRef>
                  <c:f>Stakeholder!$B$18</c:f>
                  <c:strCache>
                    <c:ptCount val="1"/>
                    <c:pt idx="0">
                      <c:v>s13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{EA5BE2EA-A0BD-4B0F-8C8E-05FF4EF60EA4}</c15:txfldGUID>
                      <c15:f>Stakeholder!$B$18</c15:f>
                      <c15:dlblFieldTableCache>
                        <c:ptCount val="1"/>
                        <c:pt idx="0">
                          <c:v>s13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ACB9-4EA1-8760-27E1EFDCAD3F}"/>
                </c:ext>
              </c:extLst>
            </c:dLbl>
            <c:dLbl>
              <c:idx val="13"/>
              <c:layout>
                <c:manualLayout>
                  <c:x val="-9.5316399652655176E-2"/>
                  <c:y val="-3.8514918572863854E-3"/>
                </c:manualLayout>
              </c:layout>
              <c:tx>
                <c:strRef>
                  <c:f>Stakeholder!$B$19</c:f>
                  <c:strCache>
                    <c:ptCount val="1"/>
                    <c:pt idx="0">
                      <c:v>s14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{10B550C6-079A-44AC-9329-1AEF6A64031F}</c15:txfldGUID>
                      <c15:f>Stakeholder!$B$19</c15:f>
                      <c15:dlblFieldTableCache>
                        <c:ptCount val="1"/>
                        <c:pt idx="0">
                          <c:v>s14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ACB9-4EA1-8760-27E1EFDCAD3F}"/>
                </c:ext>
              </c:extLst>
            </c:dLbl>
            <c:dLbl>
              <c:idx val="14"/>
              <c:layout>
                <c:manualLayout>
                  <c:x val="-9.3075426872700748E-2"/>
                  <c:y val="1.9431918191234634E-3"/>
                </c:manualLayout>
              </c:layout>
              <c:tx>
                <c:strRef>
                  <c:f>Stakeholder!$B$20</c:f>
                  <c:strCache>
                    <c:ptCount val="1"/>
                    <c:pt idx="0">
                      <c:v>s15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{6D5573AC-661C-48F5-AC9B-86F3390D8136}</c15:txfldGUID>
                      <c15:f>Stakeholder!$B$20</c15:f>
                      <c15:dlblFieldTableCache>
                        <c:ptCount val="1"/>
                        <c:pt idx="0">
                          <c:v>s15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ACB9-4EA1-8760-27E1EFDCAD3F}"/>
                </c:ext>
              </c:extLst>
            </c:dLbl>
            <c:dLbl>
              <c:idx val="15"/>
              <c:layout>
                <c:manualLayout>
                  <c:x val="-9.0672874117583457E-2"/>
                  <c:y val="-5.7337788266080981E-4"/>
                </c:manualLayout>
              </c:layout>
              <c:tx>
                <c:strRef>
                  <c:f>Stakeholder!$B$21</c:f>
                  <c:strCache>
                    <c:ptCount val="1"/>
                    <c:pt idx="0">
                      <c:v>s16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{D30A9C0C-3B69-4C2C-A977-978157827A4B}</c15:txfldGUID>
                      <c15:f>Stakeholder!$B$21</c15:f>
                      <c15:dlblFieldTableCache>
                        <c:ptCount val="1"/>
                        <c:pt idx="0">
                          <c:v>s16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ACB9-4EA1-8760-27E1EFDCAD3F}"/>
                </c:ext>
              </c:extLst>
            </c:dLbl>
            <c:dLbl>
              <c:idx val="16"/>
              <c:layout>
                <c:manualLayout>
                  <c:x val="-7.6518766136590033E-2"/>
                  <c:y val="-3.0198524887653862E-3"/>
                </c:manualLayout>
              </c:layout>
              <c:tx>
                <c:strRef>
                  <c:f>Stakeholder!$B$22</c:f>
                  <c:strCache>
                    <c:ptCount val="1"/>
                    <c:pt idx="0">
                      <c:v>s17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{33F2AEFA-A45F-49BF-B405-2628C07329D1}</c15:txfldGUID>
                      <c15:f>Stakeholder!$B$22</c15:f>
                      <c15:dlblFieldTableCache>
                        <c:ptCount val="1"/>
                        <c:pt idx="0">
                          <c:v>s17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ACB9-4EA1-8760-27E1EFDCAD3F}"/>
                </c:ext>
              </c:extLst>
            </c:dLbl>
            <c:dLbl>
              <c:idx val="17"/>
              <c:layout>
                <c:manualLayout>
                  <c:x val="-8.7108285836018512E-2"/>
                  <c:y val="-1.0416131218019113E-3"/>
                </c:manualLayout>
              </c:layout>
              <c:tx>
                <c:strRef>
                  <c:f>Stakeholder!$B$23</c:f>
                  <c:strCache>
                    <c:ptCount val="1"/>
                    <c:pt idx="0">
                      <c:v>s18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{F187EAE3-C4C9-4FB9-9652-31832598ED34}</c15:txfldGUID>
                      <c15:f>Stakeholder!$B$23</c15:f>
                      <c15:dlblFieldTableCache>
                        <c:ptCount val="1"/>
                        <c:pt idx="0">
                          <c:v>s18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ACB9-4EA1-8760-27E1EFDCAD3F}"/>
                </c:ext>
              </c:extLst>
            </c:dLbl>
            <c:dLbl>
              <c:idx val="18"/>
              <c:layout>
                <c:manualLayout>
                  <c:x val="-9.1207800634435954E-2"/>
                  <c:y val="-1.9081442712836332E-3"/>
                </c:manualLayout>
              </c:layout>
              <c:tx>
                <c:strRef>
                  <c:f>Stakeholder!$B$24</c:f>
                  <c:strCache>
                    <c:ptCount val="1"/>
                    <c:pt idx="0">
                      <c:v>s19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{778B9EC4-D423-4296-919A-2049AFC067CC}</c15:txfldGUID>
                      <c15:f>Stakeholder!$B$24</c15:f>
                      <c15:dlblFieldTableCache>
                        <c:ptCount val="1"/>
                        <c:pt idx="0">
                          <c:v>s19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ACB9-4EA1-8760-27E1EFDCAD3F}"/>
                </c:ext>
              </c:extLst>
            </c:dLbl>
            <c:dLbl>
              <c:idx val="19"/>
              <c:layout>
                <c:manualLayout>
                  <c:x val="-9.8837800659752631E-2"/>
                  <c:y val="-2.9148656121248937E-3"/>
                </c:manualLayout>
              </c:layout>
              <c:tx>
                <c:strRef>
                  <c:f>Stakeholder!$B$25</c:f>
                  <c:strCache>
                    <c:ptCount val="1"/>
                    <c:pt idx="0">
                      <c:v>s20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{C8317A1B-0BE4-4240-847D-C22412481410}</c15:txfldGUID>
                      <c15:f>Stakeholder!$B$25</c15:f>
                      <c15:dlblFieldTableCache>
                        <c:ptCount val="1"/>
                        <c:pt idx="0">
                          <c:v>s20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ACB9-4EA1-8760-27E1EFDCAD3F}"/>
                </c:ext>
              </c:extLst>
            </c:dLbl>
            <c:numFmt formatCode="General" sourceLinked="0"/>
            <c:spPr>
              <a:ln>
                <a:noFill/>
              </a:ln>
            </c:spPr>
            <c:txPr>
              <a:bodyPr rot="0"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Stakeholder!$D$6:$D$25</c:f>
              <c:numCache>
                <c:formatCode>0</c:formatCode>
                <c:ptCount val="20"/>
                <c:pt idx="0">
                  <c:v>3</c:v>
                </c:pt>
                <c:pt idx="1">
                  <c:v>8</c:v>
                </c:pt>
                <c:pt idx="2">
                  <c:v>7</c:v>
                </c:pt>
                <c:pt idx="3">
                  <c:v>1</c:v>
                </c:pt>
              </c:numCache>
            </c:numRef>
          </c:xVal>
          <c:yVal>
            <c:numRef>
              <c:f>Stakeholder!$E$6:$E$25</c:f>
              <c:numCache>
                <c:formatCode>0</c:formatCode>
                <c:ptCount val="20"/>
                <c:pt idx="0">
                  <c:v>7</c:v>
                </c:pt>
                <c:pt idx="1">
                  <c:v>9</c:v>
                </c:pt>
                <c:pt idx="2">
                  <c:v>5</c:v>
                </c:pt>
                <c:pt idx="3">
                  <c:v>2</c:v>
                </c:pt>
              </c:numCache>
            </c:numRef>
          </c:yVal>
          <c:bubbleSize>
            <c:numRef>
              <c:f>Stakeholder!$K$6:$K$25</c:f>
              <c:numCache>
                <c:formatCode>;;;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ACB9-4EA1-8760-27E1EFDCAD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327817680"/>
        <c:axId val="327808976"/>
      </c:bubbleChart>
      <c:valAx>
        <c:axId val="327817680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327808976"/>
        <c:crosses val="autoZero"/>
        <c:crossBetween val="midCat"/>
        <c:majorUnit val="1"/>
        <c:minorUnit val="0.1"/>
      </c:valAx>
      <c:valAx>
        <c:axId val="327808976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32781768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Calibri Light" panose="020F0302020204030204" pitchFamily="34" charset="0"/>
          <a:cs typeface="Calibri Light" panose="020F0302020204030204" pitchFamily="34" charset="0"/>
        </a:defRPr>
      </a:pPr>
      <a:endParaRPr lang="fr-FR"/>
    </a:p>
  </c:tx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75000"/>
                    </a:schemeClr>
                  </a:gs>
                  <a:gs pos="50000">
                    <a:schemeClr val="accent1">
                      <a:lumMod val="60000"/>
                      <a:lumOff val="40000"/>
                    </a:schemeClr>
                  </a:gs>
                  <a:gs pos="100000">
                    <a:schemeClr val="accent1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E6D5-4606-B6D7-CE185D333C21}"/>
              </c:ext>
            </c:extLst>
          </c:dPt>
          <c:dLbls>
            <c:dLbl>
              <c:idx val="0"/>
              <c:layout>
                <c:manualLayout>
                  <c:x val="-3.7634408602150539E-2"/>
                  <c:y val="-2.0189783969311527E-6"/>
                </c:manualLayout>
              </c:layout>
              <c:spPr/>
              <c:txPr>
                <a:bodyPr/>
                <a:lstStyle/>
                <a:p>
                  <a:pPr>
                    <a:defRPr sz="1100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6D5-4606-B6D7-CE185D333C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solidFill>
                      <a:schemeClr val="bg1">
                        <a:lumMod val="85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Projektbudget!$CO$24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D5-4606-B6D7-CE185D333C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327802992"/>
        <c:axId val="327803536"/>
      </c:barChart>
      <c:catAx>
        <c:axId val="327802992"/>
        <c:scaling>
          <c:orientation val="minMax"/>
        </c:scaling>
        <c:delete val="1"/>
        <c:axPos val="l"/>
        <c:majorTickMark val="out"/>
        <c:minorTickMark val="none"/>
        <c:tickLblPos val="nextTo"/>
        <c:crossAx val="327803536"/>
        <c:crosses val="autoZero"/>
        <c:auto val="1"/>
        <c:lblAlgn val="ctr"/>
        <c:lblOffset val="100"/>
        <c:noMultiLvlLbl val="0"/>
      </c:catAx>
      <c:valAx>
        <c:axId val="327803536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327802992"/>
        <c:crosses val="autoZero"/>
        <c:crossBetween val="between"/>
        <c:majorUnit val="0.2"/>
        <c:minorUnit val="4.0000000000000008E-2"/>
      </c:valAx>
      <c:spPr>
        <a:gradFill>
          <a:gsLst>
            <a:gs pos="0">
              <a:schemeClr val="accent1">
                <a:lumMod val="20000"/>
                <a:lumOff val="80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75000"/>
              </a:schemeClr>
            </a:gs>
          </a:gsLst>
          <a:lin ang="10800000" scaled="1"/>
        </a:gra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75000"/>
                    </a:schemeClr>
                  </a:gs>
                  <a:gs pos="50000">
                    <a:schemeClr val="accent1">
                      <a:lumMod val="60000"/>
                      <a:lumOff val="40000"/>
                    </a:schemeClr>
                  </a:gs>
                  <a:gs pos="100000">
                    <a:schemeClr val="accent1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A6B1-4E7A-8D50-5DA0980E7443}"/>
              </c:ext>
            </c:extLst>
          </c:dPt>
          <c:dLbls>
            <c:dLbl>
              <c:idx val="0"/>
              <c:layout>
                <c:manualLayout>
                  <c:x val="-5.3763440860215055E-2"/>
                  <c:y val="-2.0189783969311527E-6"/>
                </c:manualLayout>
              </c:layout>
              <c:spPr/>
              <c:txPr>
                <a:bodyPr/>
                <a:lstStyle/>
                <a:p>
                  <a:pPr>
                    <a:defRPr sz="1100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6B1-4E7A-8D50-5DA0980E744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solidFill>
                      <a:schemeClr val="bg1">
                        <a:lumMod val="85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Projektbudget!$CO$59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B1-4E7A-8D50-5DA0980E7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351968224"/>
        <c:axId val="351963328"/>
      </c:barChart>
      <c:catAx>
        <c:axId val="351968224"/>
        <c:scaling>
          <c:orientation val="minMax"/>
        </c:scaling>
        <c:delete val="1"/>
        <c:axPos val="l"/>
        <c:majorTickMark val="out"/>
        <c:minorTickMark val="none"/>
        <c:tickLblPos val="nextTo"/>
        <c:crossAx val="351963328"/>
        <c:crosses val="autoZero"/>
        <c:auto val="1"/>
        <c:lblAlgn val="ctr"/>
        <c:lblOffset val="100"/>
        <c:noMultiLvlLbl val="0"/>
      </c:catAx>
      <c:valAx>
        <c:axId val="351963328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351968224"/>
        <c:crosses val="autoZero"/>
        <c:crossBetween val="between"/>
        <c:majorUnit val="0.2"/>
        <c:minorUnit val="4.0000000000000008E-2"/>
      </c:valAx>
      <c:spPr>
        <a:gradFill>
          <a:gsLst>
            <a:gs pos="0">
              <a:schemeClr val="accent1">
                <a:lumMod val="20000"/>
                <a:lumOff val="80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75000"/>
              </a:schemeClr>
            </a:gs>
          </a:gsLst>
          <a:lin ang="10800000" scaled="1"/>
        </a:gra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75000"/>
                    </a:schemeClr>
                  </a:gs>
                  <a:gs pos="50000">
                    <a:schemeClr val="accent1">
                      <a:lumMod val="60000"/>
                      <a:lumOff val="40000"/>
                    </a:schemeClr>
                  </a:gs>
                  <a:gs pos="100000">
                    <a:schemeClr val="accent1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20A9-423D-8615-A4EEB5DFCB08}"/>
              </c:ext>
            </c:extLst>
          </c:dPt>
          <c:dLbls>
            <c:dLbl>
              <c:idx val="0"/>
              <c:layout>
                <c:manualLayout>
                  <c:x val="-0.14559139784946237"/>
                  <c:y val="-2.0585662086356854E-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0A9-423D-8615-A4EEB5DFCB0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Projektbudget!$CO$61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0A9-423D-8615-A4EEB5DFCB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351962784"/>
        <c:axId val="351957888"/>
      </c:barChart>
      <c:catAx>
        <c:axId val="351962784"/>
        <c:scaling>
          <c:orientation val="minMax"/>
        </c:scaling>
        <c:delete val="1"/>
        <c:axPos val="l"/>
        <c:majorTickMark val="out"/>
        <c:minorTickMark val="none"/>
        <c:tickLblPos val="nextTo"/>
        <c:crossAx val="351957888"/>
        <c:crosses val="autoZero"/>
        <c:auto val="1"/>
        <c:lblAlgn val="ctr"/>
        <c:lblOffset val="100"/>
        <c:noMultiLvlLbl val="0"/>
      </c:catAx>
      <c:valAx>
        <c:axId val="351957888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351962784"/>
        <c:crosses val="autoZero"/>
        <c:crossBetween val="between"/>
        <c:majorUnit val="0.2"/>
        <c:minorUnit val="4.0000000000000008E-2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0" scaled="1"/>
              <a:tileRect/>
            </a:gradFill>
            <a:ln>
              <a:solidFill>
                <a:schemeClr val="accent4">
                  <a:lumMod val="5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75000"/>
                    </a:schemeClr>
                  </a:gs>
                  <a:gs pos="50000">
                    <a:schemeClr val="accent1">
                      <a:lumMod val="60000"/>
                      <a:lumOff val="40000"/>
                    </a:schemeClr>
                  </a:gs>
                  <a:gs pos="100000">
                    <a:schemeClr val="accent1">
                      <a:lumMod val="40000"/>
                      <a:lumOff val="60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DE44-4DA9-9B27-124632852665}"/>
              </c:ext>
            </c:extLst>
          </c:dPt>
          <c:dLbls>
            <c:dLbl>
              <c:idx val="0"/>
              <c:layout>
                <c:manualLayout>
                  <c:x val="-3.7634408602150539E-2"/>
                  <c:y val="-2.0189783969311527E-6"/>
                </c:manualLayout>
              </c:layout>
              <c:spPr/>
              <c:txPr>
                <a:bodyPr/>
                <a:lstStyle/>
                <a:p>
                  <a:pPr>
                    <a:defRPr sz="1100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E44-4DA9-9B27-12463285266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solidFill>
                      <a:schemeClr val="bg1">
                        <a:lumMod val="85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Projektbudget!$CO$77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44-4DA9-9B27-1246328526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351966048"/>
        <c:axId val="351967136"/>
      </c:barChart>
      <c:catAx>
        <c:axId val="351966048"/>
        <c:scaling>
          <c:orientation val="minMax"/>
        </c:scaling>
        <c:delete val="1"/>
        <c:axPos val="l"/>
        <c:majorTickMark val="out"/>
        <c:minorTickMark val="none"/>
        <c:tickLblPos val="nextTo"/>
        <c:crossAx val="351967136"/>
        <c:crosses val="autoZero"/>
        <c:auto val="1"/>
        <c:lblAlgn val="ctr"/>
        <c:lblOffset val="100"/>
        <c:noMultiLvlLbl val="0"/>
      </c:catAx>
      <c:valAx>
        <c:axId val="351967136"/>
        <c:scaling>
          <c:orientation val="minMax"/>
          <c:max val="1"/>
          <c:min val="0"/>
        </c:scaling>
        <c:delete val="1"/>
        <c:axPos val="b"/>
        <c:majorGridlines/>
        <c:numFmt formatCode="0%" sourceLinked="1"/>
        <c:majorTickMark val="out"/>
        <c:minorTickMark val="none"/>
        <c:tickLblPos val="nextTo"/>
        <c:crossAx val="351966048"/>
        <c:crosses val="autoZero"/>
        <c:crossBetween val="between"/>
        <c:majorUnit val="0.2"/>
        <c:minorUnit val="4.0000000000000008E-2"/>
      </c:valAx>
      <c:spPr>
        <a:gradFill>
          <a:gsLst>
            <a:gs pos="0">
              <a:schemeClr val="accent1">
                <a:lumMod val="20000"/>
                <a:lumOff val="80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75000"/>
              </a:schemeClr>
            </a:gs>
          </a:gsLst>
          <a:lin ang="10800000" scaled="1"/>
        </a:gra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ln>
              <a:solidFill>
                <a:schemeClr val="tx2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bg2">
                  <a:lumMod val="90000"/>
                  <a:alpha val="50000"/>
                </a:schemeClr>
              </a:solidFill>
              <a:ln>
                <a:solidFill>
                  <a:schemeClr val="bg2">
                    <a:lumMod val="2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9263-423A-B8E1-F6217E410195}"/>
              </c:ext>
            </c:extLst>
          </c:dPt>
          <c:dPt>
            <c:idx val="1"/>
            <c:invertIfNegative val="0"/>
            <c:bubble3D val="0"/>
            <c:spPr>
              <a:solidFill>
                <a:schemeClr val="bg2">
                  <a:lumMod val="75000"/>
                  <a:alpha val="50000"/>
                </a:schemeClr>
              </a:solidFill>
              <a:ln>
                <a:solidFill>
                  <a:schemeClr val="bg2">
                    <a:lumMod val="2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9263-423A-B8E1-F6217E410195}"/>
              </c:ext>
            </c:extLst>
          </c:dPt>
          <c:dPt>
            <c:idx val="2"/>
            <c:invertIfNegative val="0"/>
            <c:bubble3D val="0"/>
            <c:spPr>
              <a:solidFill>
                <a:schemeClr val="bg1">
                  <a:lumMod val="9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9263-423A-B8E1-F6217E410195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8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9263-423A-B8E1-F6217E410195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20000"/>
                  <a:lumOff val="80000"/>
                  <a:alpha val="5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9263-423A-B8E1-F6217E410195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9263-423A-B8E1-F6217E410195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2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2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D-9263-423A-B8E1-F6217E410195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F-9263-423A-B8E1-F6217E410195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3">
                    <a:lumMod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9263-423A-B8E1-F6217E410195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3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3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3-9263-423A-B8E1-F6217E410195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5-9263-423A-B8E1-F6217E410195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4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7-9263-423A-B8E1-F6217E410195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5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9-9263-423A-B8E1-F6217E410195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5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B-9263-423A-B8E1-F6217E410195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6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D-9263-423A-B8E1-F6217E410195}"/>
              </c:ext>
            </c:extLst>
          </c:dPt>
          <c:dLbls>
            <c:dLbl>
              <c:idx val="0"/>
              <c:layout>
                <c:manualLayout>
                  <c:x val="-8.3307290698941008E-2"/>
                  <c:y val="-8.8741018247284337E-3"/>
                </c:manualLayout>
              </c:layout>
              <c:tx>
                <c:strRef>
                  <c:f>Risikomgmt!$B$5</c:f>
                  <c:strCache>
                    <c:ptCount val="1"/>
                    <c:pt idx="0">
                      <c:v>R1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{98D85277-1B60-42EB-A16E-97CB5CB93355}</c15:txfldGUID>
                      <c15:f>Risikomgmt!$B$5</c15:f>
                      <c15:dlblFieldTableCache>
                        <c:ptCount val="1"/>
                        <c:pt idx="0">
                          <c:v>R1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9263-423A-B8E1-F6217E410195}"/>
                </c:ext>
              </c:extLst>
            </c:dLbl>
            <c:dLbl>
              <c:idx val="1"/>
              <c:layout>
                <c:manualLayout>
                  <c:x val="-9.1420880098717461E-2"/>
                  <c:y val="-6.65557636854634E-3"/>
                </c:manualLayout>
              </c:layout>
              <c:tx>
                <c:strRef>
                  <c:f>Risikomgmt!$B$6</c:f>
                  <c:strCache>
                    <c:ptCount val="1"/>
                    <c:pt idx="0">
                      <c:v>R2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{E374C9D5-2744-4F90-90CD-63944114C4A6}</c15:txfldGUID>
                      <c15:f>Risikomgmt!$B$6</c15:f>
                      <c15:dlblFieldTableCache>
                        <c:ptCount val="1"/>
                        <c:pt idx="0">
                          <c:v>R2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9263-423A-B8E1-F6217E410195}"/>
                </c:ext>
              </c:extLst>
            </c:dLbl>
            <c:dLbl>
              <c:idx val="2"/>
              <c:layout>
                <c:manualLayout>
                  <c:x val="-8.7364085398829242E-2"/>
                  <c:y val="1.331115273709268E-2"/>
                </c:manualLayout>
              </c:layout>
              <c:tx>
                <c:strRef>
                  <c:f>Risikomgmt!$B$7</c:f>
                  <c:strCache>
                    <c:ptCount val="1"/>
                    <c:pt idx="0">
                      <c:v>R3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{7B97E9EA-AC25-49B5-A823-0C33398B365B}</c15:txfldGUID>
                      <c15:f>Risikomgmt!$B$7</c15:f>
                      <c15:dlblFieldTableCache>
                        <c:ptCount val="1"/>
                        <c:pt idx="0">
                          <c:v>R3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9263-423A-B8E1-F6217E410195}"/>
                </c:ext>
              </c:extLst>
            </c:dLbl>
            <c:dLbl>
              <c:idx val="3"/>
              <c:tx>
                <c:strRef>
                  <c:f>Risikomgmt!$B$8</c:f>
                  <c:strCache>
                    <c:ptCount val="1"/>
                    <c:pt idx="0">
                      <c:v>R4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{69C209E6-ADEE-4548-BB96-7EA4C2041720}</c15:txfldGUID>
                      <c15:f>Risikomgmt!$B$8</c15:f>
                      <c15:dlblFieldTableCache>
                        <c:ptCount val="1"/>
                        <c:pt idx="0">
                          <c:v>R4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9263-423A-B8E1-F6217E410195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strRef>
                  <c:f>Risikomgmt!$B$9</c:f>
                  <c:strCache>
                    <c:ptCount val="1"/>
                    <c:pt idx="0">
                      <c:v>R5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{B21FE4EB-BB71-4A75-B929-E9FF10CB449A}</c15:txfldGUID>
                      <c15:f>Risikomgmt!$B$9</c15:f>
                      <c15:dlblFieldTableCache>
                        <c:ptCount val="1"/>
                        <c:pt idx="0">
                          <c:v>R5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9263-423A-B8E1-F6217E410195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strRef>
                  <c:f>Risikomgmt!$B$10</c:f>
                  <c:strCache>
                    <c:ptCount val="1"/>
                    <c:pt idx="0">
                      <c:v>R6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{657507E6-DE93-434F-9557-F47A9E4D094A}</c15:txfldGUID>
                      <c15:f>Risikomgmt!$B$10</c15:f>
                      <c15:dlblFieldTableCache>
                        <c:ptCount val="1"/>
                        <c:pt idx="0">
                          <c:v>R6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9263-423A-B8E1-F6217E410195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strRef>
                  <c:f>Risikomgmt!$B$11</c:f>
                  <c:strCache>
                    <c:ptCount val="1"/>
                    <c:pt idx="0">
                      <c:v>R7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{618E6D57-7D86-45DE-B057-99F2F2198883}</c15:txfldGUID>
                      <c15:f>Risikomgmt!$B$11</c15:f>
                      <c15:dlblFieldTableCache>
                        <c:ptCount val="1"/>
                        <c:pt idx="0">
                          <c:v>R7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9263-423A-B8E1-F6217E410195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strRef>
                  <c:f>Risikomgmt!$B$12</c:f>
                  <c:strCache>
                    <c:ptCount val="1"/>
                    <c:pt idx="0">
                      <c:v>R8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{D88C08AE-815E-4A1E-B285-9836592124F5}</c15:txfldGUID>
                      <c15:f>Risikomgmt!$B$12</c15:f>
                      <c15:dlblFieldTableCache>
                        <c:ptCount val="1"/>
                        <c:pt idx="0">
                          <c:v>R8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9263-423A-B8E1-F6217E410195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strRef>
                  <c:f>Risikomgmt!$B$13</c:f>
                  <c:strCache>
                    <c:ptCount val="1"/>
                    <c:pt idx="0">
                      <c:v>R9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{F863ED6E-F0C2-4AA1-A336-2D77ACD9FEC8}</c15:txfldGUID>
                      <c15:f>Risikomgmt!$B$13</c15:f>
                      <c15:dlblFieldTableCache>
                        <c:ptCount val="1"/>
                        <c:pt idx="0">
                          <c:v>R9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9263-423A-B8E1-F6217E410195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strRef>
                  <c:f>Risikomgmt!$B$14</c:f>
                  <c:strCache>
                    <c:ptCount val="1"/>
                    <c:pt idx="0">
                      <c:v>R10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{115325A7-B866-4C8A-AF94-7ADCA1CBFF03}</c15:txfldGUID>
                      <c15:f>Risikomgmt!$B$14</c15:f>
                      <c15:dlblFieldTableCache>
                        <c:ptCount val="1"/>
                        <c:pt idx="0">
                          <c:v>R10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9263-423A-B8E1-F6217E410195}"/>
                </c:ext>
              </c:extLst>
            </c:dLbl>
            <c:dLbl>
              <c:idx val="10"/>
              <c:tx>
                <c:strRef>
                  <c:f>Risikomgmt!$B$15</c:f>
                  <c:strCache>
                    <c:ptCount val="1"/>
                    <c:pt idx="0">
                      <c:v>R11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{501DA114-200F-4838-B1A1-3776F3E026C6}</c15:txfldGUID>
                      <c15:f>Risikomgmt!$B$15</c15:f>
                      <c15:dlblFieldTableCache>
                        <c:ptCount val="1"/>
                        <c:pt idx="0">
                          <c:v>R11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5-9263-423A-B8E1-F6217E410195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strRef>
                  <c:f>Risikomgmt!$B$16</c:f>
                  <c:strCache>
                    <c:ptCount val="1"/>
                    <c:pt idx="0">
                      <c:v>R12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{92E8B2A3-27F8-4C7A-953D-3E0C2D2B6B1C}</c15:txfldGUID>
                      <c15:f>Risikomgmt!$B$16</c15:f>
                      <c15:dlblFieldTableCache>
                        <c:ptCount val="1"/>
                        <c:pt idx="0">
                          <c:v>R12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7-9263-423A-B8E1-F6217E410195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strRef>
                  <c:f>Risikomgmt!$B$17</c:f>
                  <c:strCache>
                    <c:ptCount val="1"/>
                    <c:pt idx="0">
                      <c:v>R13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{BBB33EBA-8FC7-4366-8F7F-30CD3AC6411D}</c15:txfldGUID>
                      <c15:f>Risikomgmt!$B$17</c15:f>
                      <c15:dlblFieldTableCache>
                        <c:ptCount val="1"/>
                        <c:pt idx="0">
                          <c:v>R13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9-9263-423A-B8E1-F6217E410195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strRef>
                  <c:f>Risikomgmt!$B$18</c:f>
                  <c:strCache>
                    <c:ptCount val="1"/>
                    <c:pt idx="0">
                      <c:v>R14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{8686004C-1D29-4259-A18F-D8FCA5474262}</c15:txfldGUID>
                      <c15:f>Risikomgmt!$B$18</c15:f>
                      <c15:dlblFieldTableCache>
                        <c:ptCount val="1"/>
                        <c:pt idx="0">
                          <c:v>R14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B-9263-423A-B8E1-F6217E410195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strRef>
                  <c:f>Risikomgmt!$B$19</c:f>
                  <c:strCache>
                    <c:ptCount val="1"/>
                    <c:pt idx="0">
                      <c:v>R15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{75AE5CA7-D860-4C12-89A6-AD62AB360AB4}</c15:txfldGUID>
                      <c15:f>Risikomgmt!$B$19</c15:f>
                      <c15:dlblFieldTableCache>
                        <c:ptCount val="1"/>
                        <c:pt idx="0">
                          <c:v>R15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D-9263-423A-B8E1-F6217E410195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6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Risikomgmt!$D$5:$D$19</c:f>
              <c:numCache>
                <c:formatCode>0</c:formatCode>
                <c:ptCount val="15"/>
                <c:pt idx="0">
                  <c:v>1</c:v>
                </c:pt>
                <c:pt idx="1">
                  <c:v>5</c:v>
                </c:pt>
              </c:numCache>
            </c:numRef>
          </c:xVal>
          <c:yVal>
            <c:numRef>
              <c:f>Risikomgmt!$E$5:$E$19</c:f>
              <c:numCache>
                <c:formatCode>0</c:formatCode>
                <c:ptCount val="15"/>
                <c:pt idx="0">
                  <c:v>1</c:v>
                </c:pt>
                <c:pt idx="1">
                  <c:v>5</c:v>
                </c:pt>
              </c:numCache>
            </c:numRef>
          </c:yVal>
          <c:bubbleSize>
            <c:numRef>
              <c:f>Risikomgmt!$J$5:$J$19</c:f>
              <c:numCache>
                <c:formatCode>0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E-9263-423A-B8E1-F6217E4101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351964960"/>
        <c:axId val="351960064"/>
      </c:bubbleChart>
      <c:valAx>
        <c:axId val="351964960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351960064"/>
        <c:crosses val="autoZero"/>
        <c:crossBetween val="midCat"/>
        <c:majorUnit val="1"/>
        <c:minorUnit val="0.1"/>
      </c:valAx>
      <c:valAx>
        <c:axId val="351960064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35196496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Logo!$D$26</c:f>
              <c:strCache>
                <c:ptCount val="1"/>
              </c:strCache>
            </c:strRef>
          </c:tx>
          <c:spPr>
            <a:gradFill>
              <a:gsLst>
                <a:gs pos="0">
                  <a:srgbClr val="C00000"/>
                </a:gs>
                <a:gs pos="100000">
                  <a:srgbClr val="00B050"/>
                </a:gs>
              </a:gsLst>
              <a:lin ang="5400000" scaled="1"/>
            </a:gradFill>
          </c:spPr>
          <c:dPt>
            <c:idx val="0"/>
            <c:bubble3D val="0"/>
            <c:spPr>
              <a:gradFill>
                <a:gsLst>
                  <a:gs pos="0">
                    <a:srgbClr val="C00000"/>
                  </a:gs>
                  <a:gs pos="100000">
                    <a:srgbClr val="FFC000"/>
                  </a:gs>
                  <a:gs pos="52000">
                    <a:srgbClr val="FF0000"/>
                  </a:gs>
                </a:gsLst>
                <a:lin ang="18900000" scaled="1"/>
              </a:gradFill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59D-49B6-88DE-74B5D2B3EF80}"/>
              </c:ext>
            </c:extLst>
          </c:dPt>
          <c:dPt>
            <c:idx val="1"/>
            <c:bubble3D val="0"/>
            <c:spPr>
              <a:gradFill flip="none" rotWithShape="1">
                <a:gsLst>
                  <a:gs pos="0">
                    <a:srgbClr val="FFC000"/>
                  </a:gs>
                  <a:gs pos="100000">
                    <a:srgbClr val="92D050"/>
                  </a:gs>
                  <a:gs pos="54000">
                    <a:srgbClr val="FFFF00"/>
                  </a:gs>
                </a:gsLst>
                <a:lin ang="0" scaled="1"/>
                <a:tileRect/>
              </a:gradFill>
              <a:ln w="127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59D-49B6-88DE-74B5D2B3EF80}"/>
              </c:ext>
            </c:extLst>
          </c:dPt>
          <c:dPt>
            <c:idx val="2"/>
            <c:bubble3D val="0"/>
            <c:spPr>
              <a:gradFill flip="none" rotWithShape="1">
                <a:gsLst>
                  <a:gs pos="0">
                    <a:srgbClr val="92D050"/>
                  </a:gs>
                  <a:gs pos="100000">
                    <a:srgbClr val="006600"/>
                  </a:gs>
                </a:gsLst>
                <a:lin ang="5400000" scaled="1"/>
                <a:tileRect/>
              </a:gradFill>
              <a:ln w="127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59D-49B6-88DE-74B5D2B3EF80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59D-49B6-88DE-74B5D2B3EF80}"/>
              </c:ext>
            </c:extLst>
          </c:dPt>
          <c:cat>
            <c:strRef>
              <c:f>Logo!$B$15:$B$18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Leer</c:v>
                </c:pt>
              </c:strCache>
            </c:strRef>
          </c:cat>
          <c:val>
            <c:numRef>
              <c:f>Logo!$D$15:$D$18</c:f>
              <c:numCache>
                <c:formatCode>0%</c:formatCode>
                <c:ptCount val="4"/>
                <c:pt idx="0">
                  <c:v>0.5</c:v>
                </c:pt>
                <c:pt idx="1">
                  <c:v>0.3</c:v>
                </c:pt>
                <c:pt idx="2">
                  <c:v>0.2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59D-49B6-88DE-74B5D2B3EF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4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0"/>
        <c:ser>
          <c:idx val="0"/>
          <c:order val="0"/>
          <c:tx>
            <c:strRef>
              <c:f>Logo!$K$15</c:f>
              <c:strCache>
                <c:ptCount val="1"/>
                <c:pt idx="0">
                  <c:v>50%</c:v>
                </c:pt>
              </c:strCache>
            </c:strRef>
          </c:tx>
          <c:spPr>
            <a:solidFill>
              <a:schemeClr val="accent1"/>
            </a:solidFill>
            <a:ln w="25400">
              <a:noFill/>
            </a:ln>
            <a:effectLst/>
          </c:spPr>
          <c:explosion val="20"/>
          <c:dPt>
            <c:idx val="0"/>
            <c:bubble3D val="0"/>
            <c:spPr>
              <a:noFill/>
              <a:ln w="254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957-4A12-A3A6-A1D83CA5522C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38100" cap="flat" cmpd="sng">
                <a:solidFill>
                  <a:schemeClr val="tx1"/>
                </a:solidFill>
                <a:round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957-4A12-A3A6-A1D83CA5522C}"/>
              </c:ext>
            </c:extLst>
          </c:dPt>
          <c:dPt>
            <c:idx val="2"/>
            <c:bubble3D val="0"/>
            <c:spPr>
              <a:noFill/>
              <a:ln w="254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957-4A12-A3A6-A1D83CA5522C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957-4A12-A3A6-A1D83CA5522C}"/>
                </c:ext>
              </c:extLst>
            </c:dLbl>
            <c:dLbl>
              <c:idx val="1"/>
              <c:dLblPos val="outEnd"/>
              <c:showLegendKey val="0"/>
              <c:showVal val="0"/>
              <c:showCatName val="0"/>
              <c:showSerName val="1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957-4A12-A3A6-A1D83CA5522C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957-4A12-A3A6-A1D83CA5522C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alibri Light" panose="020F0302020204030204" pitchFamily="34" charset="0"/>
                    <a:ea typeface="+mn-ea"/>
                    <a:cs typeface="Calibri Light" panose="020F0302020204030204" pitchFamily="34" charset="0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Logo!$J$15:$J$17</c:f>
              <c:strCache>
                <c:ptCount val="3"/>
                <c:pt idx="0">
                  <c:v>Wert</c:v>
                </c:pt>
                <c:pt idx="1">
                  <c:v>Breite</c:v>
                </c:pt>
                <c:pt idx="2">
                  <c:v>Ende</c:v>
                </c:pt>
              </c:strCache>
            </c:strRef>
          </c:cat>
          <c:val>
            <c:numRef>
              <c:f>Logo!$K$15:$K$17</c:f>
              <c:numCache>
                <c:formatCode>0%</c:formatCode>
                <c:ptCount val="3"/>
                <c:pt idx="0">
                  <c:v>0.5</c:v>
                </c:pt>
                <c:pt idx="1">
                  <c:v>3.0000000000000001E-3</c:v>
                </c:pt>
                <c:pt idx="2">
                  <c:v>1.4970000000000001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957-4A12-A3A6-A1D83CA552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Lines="4" dropStyle="combo" dx="16" fmlaLink="' '!$B$4" fmlaRange="' '!$W$8:$W$11" noThreeD="1" sel="2" val="0"/>
</file>

<file path=xl/ctrlProps/ctrlProp2.xml><?xml version="1.0" encoding="utf-8"?>
<formControlPr xmlns="http://schemas.microsoft.com/office/spreadsheetml/2009/9/main" objectType="Drop" dropStyle="simple" dx="16" sel="0" val="0" widthMin="23"/>
</file>

<file path=xl/ctrlProps/ctrlProp3.xml><?xml version="1.0" encoding="utf-8"?>
<formControlPr xmlns="http://schemas.microsoft.com/office/spreadsheetml/2009/9/main" objectType="CheckBox" checked="Checked" fmlaLink="$BM$3" lockText="1" noThreeD="1"/>
</file>

<file path=xl/ctrlProps/ctrlProp4.xml><?xml version="1.0" encoding="utf-8"?>
<formControlPr xmlns="http://schemas.microsoft.com/office/spreadsheetml/2009/9/main" objectType="Drop" dropStyle="simple" dx="33" sel="0" val="0" widthMin="823"/>
</file>

<file path=xl/ctrlProps/ctrlProp5.xml><?xml version="1.0" encoding="utf-8"?>
<formControlPr xmlns="http://schemas.microsoft.com/office/spreadsheetml/2009/9/main" objectType="CheckBox" checked="Checked" fmlaLink="Projektteam!$BM$3" lockText="1" noThreeD="1"/>
</file>

<file path=xl/ctrlProps/ctrlProp6.xml><?xml version="1.0" encoding="utf-8"?>
<formControlPr xmlns="http://schemas.microsoft.com/office/spreadsheetml/2009/9/main" objectType="CheckBox" checked="Checked" fmlaLink="$F$1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hyperlink" Target="#'Fragen NE'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hyperlink" Target="#Projektteam!C10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hyperlink" Target="#Detailplan!K235"/><Relationship Id="rId18" Type="http://schemas.openxmlformats.org/officeDocument/2006/relationships/image" Target="../media/image6.emf"/><Relationship Id="rId26" Type="http://schemas.openxmlformats.org/officeDocument/2006/relationships/hyperlink" Target="#Notizen!A1"/><Relationship Id="rId3" Type="http://schemas.openxmlformats.org/officeDocument/2006/relationships/chart" Target="../charts/chart1.xml"/><Relationship Id="rId21" Type="http://schemas.openxmlformats.org/officeDocument/2006/relationships/hyperlink" Target="#Projektstand!A1"/><Relationship Id="rId7" Type="http://schemas.openxmlformats.org/officeDocument/2006/relationships/hyperlink" Target="#Projektauftrag!B43"/><Relationship Id="rId12" Type="http://schemas.openxmlformats.org/officeDocument/2006/relationships/hyperlink" Target="#Projektbudget!AT50"/><Relationship Id="rId17" Type="http://schemas.openxmlformats.org/officeDocument/2006/relationships/hyperlink" Target="#Logo!D6"/><Relationship Id="rId25" Type="http://schemas.openxmlformats.org/officeDocument/2006/relationships/hyperlink" Target="http://www.2imanagement.ch/?id=57&amp;helpdesk&amp;topic=9" TargetMode="External"/><Relationship Id="rId33" Type="http://schemas.openxmlformats.org/officeDocument/2006/relationships/image" Target="../media/image9.jpeg"/><Relationship Id="rId2" Type="http://schemas.openxmlformats.org/officeDocument/2006/relationships/hyperlink" Target="#Projektteam!A1"/><Relationship Id="rId16" Type="http://schemas.openxmlformats.org/officeDocument/2006/relationships/hyperlink" Target="#Projektstand!E10"/><Relationship Id="rId20" Type="http://schemas.openxmlformats.org/officeDocument/2006/relationships/hyperlink" Target="#Projektauftrag!A1"/><Relationship Id="rId29" Type="http://schemas.openxmlformats.org/officeDocument/2006/relationships/hyperlink" Target="#Logo!D14"/><Relationship Id="rId1" Type="http://schemas.openxmlformats.org/officeDocument/2006/relationships/hyperlink" Target="#Projektcontrolling!A1"/><Relationship Id="rId6" Type="http://schemas.openxmlformats.org/officeDocument/2006/relationships/hyperlink" Target="#Projektauftrag!B42"/><Relationship Id="rId11" Type="http://schemas.openxmlformats.org/officeDocument/2006/relationships/hyperlink" Target="#Projektbudget!A1"/><Relationship Id="rId24" Type="http://schemas.openxmlformats.org/officeDocument/2006/relationships/hyperlink" Target="#Notizen!C5"/><Relationship Id="rId32" Type="http://schemas.openxmlformats.org/officeDocument/2006/relationships/hyperlink" Target="#'Liste de t&#226;ches'!C6"/><Relationship Id="rId5" Type="http://schemas.openxmlformats.org/officeDocument/2006/relationships/hyperlink" Target="#Projektauftrag!B41"/><Relationship Id="rId15" Type="http://schemas.openxmlformats.org/officeDocument/2006/relationships/hyperlink" Target="#Projektauftrag!D5"/><Relationship Id="rId23" Type="http://schemas.openxmlformats.org/officeDocument/2006/relationships/hyperlink" Target="#Risikomgmt!A1"/><Relationship Id="rId28" Type="http://schemas.openxmlformats.org/officeDocument/2006/relationships/hyperlink" Target="http://www.2imanagement.ch/?id=49" TargetMode="External"/><Relationship Id="rId10" Type="http://schemas.openxmlformats.org/officeDocument/2006/relationships/hyperlink" Target="#Projektauftrag!J5"/><Relationship Id="rId19" Type="http://schemas.openxmlformats.org/officeDocument/2006/relationships/hyperlink" Target="http://www.2imanagement.ch" TargetMode="External"/><Relationship Id="rId31" Type="http://schemas.openxmlformats.org/officeDocument/2006/relationships/hyperlink" Target="#Projektmgmt!D18"/><Relationship Id="rId4" Type="http://schemas.openxmlformats.org/officeDocument/2006/relationships/hyperlink" Target="#Projektauftrag!B40"/><Relationship Id="rId9" Type="http://schemas.openxmlformats.org/officeDocument/2006/relationships/hyperlink" Target="#Projektauftrag!G4"/><Relationship Id="rId14" Type="http://schemas.openxmlformats.org/officeDocument/2006/relationships/hyperlink" Target="#Detailplan!C15"/><Relationship Id="rId22" Type="http://schemas.openxmlformats.org/officeDocument/2006/relationships/hyperlink" Target="#Projektabschluss!A1"/><Relationship Id="rId27" Type="http://schemas.openxmlformats.org/officeDocument/2006/relationships/image" Target="../media/image7.png"/><Relationship Id="rId30" Type="http://schemas.openxmlformats.org/officeDocument/2006/relationships/image" Target="../media/image8.png"/><Relationship Id="rId8" Type="http://schemas.openxmlformats.org/officeDocument/2006/relationships/hyperlink" Target="#Projektauftrag!J4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Detailplan!I15"/><Relationship Id="rId13" Type="http://schemas.openxmlformats.org/officeDocument/2006/relationships/hyperlink" Target="#Detailplan!A1"/><Relationship Id="rId18" Type="http://schemas.openxmlformats.org/officeDocument/2006/relationships/image" Target="../media/image8.png"/><Relationship Id="rId3" Type="http://schemas.openxmlformats.org/officeDocument/2006/relationships/image" Target="../media/image6.emf"/><Relationship Id="rId7" Type="http://schemas.openxmlformats.org/officeDocument/2006/relationships/image" Target="../media/image12.png"/><Relationship Id="rId12" Type="http://schemas.openxmlformats.org/officeDocument/2006/relationships/hyperlink" Target="#Projektauftrag!A1"/><Relationship Id="rId17" Type="http://schemas.openxmlformats.org/officeDocument/2006/relationships/hyperlink" Target="#Logo!D14"/><Relationship Id="rId2" Type="http://schemas.openxmlformats.org/officeDocument/2006/relationships/image" Target="../media/image11.png"/><Relationship Id="rId16" Type="http://schemas.openxmlformats.org/officeDocument/2006/relationships/hyperlink" Target="#Kommunikation!A1"/><Relationship Id="rId1" Type="http://schemas.openxmlformats.org/officeDocument/2006/relationships/hyperlink" Target="#Projektmgmt!A1"/><Relationship Id="rId6" Type="http://schemas.openxmlformats.org/officeDocument/2006/relationships/chart" Target="../charts/chart2.xml"/><Relationship Id="rId11" Type="http://schemas.openxmlformats.org/officeDocument/2006/relationships/hyperlink" Target="#Projektteam!A1"/><Relationship Id="rId5" Type="http://schemas.openxmlformats.org/officeDocument/2006/relationships/hyperlink" Target="#Projektauftrag!D5"/><Relationship Id="rId15" Type="http://schemas.openxmlformats.org/officeDocument/2006/relationships/hyperlink" Target="#Projektbudget!A1"/><Relationship Id="rId10" Type="http://schemas.openxmlformats.org/officeDocument/2006/relationships/hyperlink" Target="#Projektauftrag!J6"/><Relationship Id="rId4" Type="http://schemas.openxmlformats.org/officeDocument/2006/relationships/hyperlink" Target="http://www.2imanagement.ch/?id=57&amp;helpdesk&amp;topic=9" TargetMode="External"/><Relationship Id="rId9" Type="http://schemas.openxmlformats.org/officeDocument/2006/relationships/hyperlink" Target="#Detailplan!K15"/><Relationship Id="rId14" Type="http://schemas.openxmlformats.org/officeDocument/2006/relationships/hyperlink" Target="#Projektstand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Projektstand!E10"/><Relationship Id="rId13" Type="http://schemas.openxmlformats.org/officeDocument/2006/relationships/hyperlink" Target="#Indicators!C30"/><Relationship Id="rId18" Type="http://schemas.openxmlformats.org/officeDocument/2006/relationships/hyperlink" Target="http://www.2imanagement.ch/?id=57&amp;helpdesk&amp;topic=9" TargetMode="External"/><Relationship Id="rId26" Type="http://schemas.openxmlformats.org/officeDocument/2006/relationships/image" Target="../media/image8.png"/><Relationship Id="rId3" Type="http://schemas.openxmlformats.org/officeDocument/2006/relationships/chart" Target="../charts/chart4.xml"/><Relationship Id="rId21" Type="http://schemas.openxmlformats.org/officeDocument/2006/relationships/hyperlink" Target="#Detailplan!A1"/><Relationship Id="rId7" Type="http://schemas.openxmlformats.org/officeDocument/2006/relationships/image" Target="../media/image6.emf"/><Relationship Id="rId12" Type="http://schemas.openxmlformats.org/officeDocument/2006/relationships/hyperlink" Target="#Indicators!C19"/><Relationship Id="rId17" Type="http://schemas.openxmlformats.org/officeDocument/2006/relationships/image" Target="../media/image11.png"/><Relationship Id="rId25" Type="http://schemas.openxmlformats.org/officeDocument/2006/relationships/hyperlink" Target="#Logo!D14"/><Relationship Id="rId2" Type="http://schemas.openxmlformats.org/officeDocument/2006/relationships/chart" Target="../charts/chart3.xml"/><Relationship Id="rId16" Type="http://schemas.openxmlformats.org/officeDocument/2006/relationships/hyperlink" Target="#Projektmgmt!A1"/><Relationship Id="rId20" Type="http://schemas.openxmlformats.org/officeDocument/2006/relationships/hyperlink" Target="#Projektauftrag!A1"/><Relationship Id="rId1" Type="http://schemas.openxmlformats.org/officeDocument/2006/relationships/hyperlink" Target="#Projektstand!E12"/><Relationship Id="rId6" Type="http://schemas.openxmlformats.org/officeDocument/2006/relationships/hyperlink" Target="#Projektbudget!E8"/><Relationship Id="rId11" Type="http://schemas.openxmlformats.org/officeDocument/2006/relationships/hyperlink" Target="#Indicators!C8"/><Relationship Id="rId24" Type="http://schemas.openxmlformats.org/officeDocument/2006/relationships/hyperlink" Target="#Projektbudget!E67"/><Relationship Id="rId5" Type="http://schemas.openxmlformats.org/officeDocument/2006/relationships/hyperlink" Target="#Projektteam!F10"/><Relationship Id="rId15" Type="http://schemas.openxmlformats.org/officeDocument/2006/relationships/hyperlink" Target="#Indicators!C63"/><Relationship Id="rId23" Type="http://schemas.openxmlformats.org/officeDocument/2006/relationships/hyperlink" Target="#Projektteam!AD11"/><Relationship Id="rId10" Type="http://schemas.openxmlformats.org/officeDocument/2006/relationships/hyperlink" Target="#Projektstand!E13"/><Relationship Id="rId19" Type="http://schemas.openxmlformats.org/officeDocument/2006/relationships/hyperlink" Target="#Projektteam!A1"/><Relationship Id="rId4" Type="http://schemas.openxmlformats.org/officeDocument/2006/relationships/chart" Target="../charts/chart5.xml"/><Relationship Id="rId9" Type="http://schemas.openxmlformats.org/officeDocument/2006/relationships/hyperlink" Target="#Projektstand!E11"/><Relationship Id="rId14" Type="http://schemas.openxmlformats.org/officeDocument/2006/relationships/hyperlink" Target="#Indicators!C41"/><Relationship Id="rId22" Type="http://schemas.openxmlformats.org/officeDocument/2006/relationships/hyperlink" Target="#Projektstand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Detailplan!A1"/><Relationship Id="rId13" Type="http://schemas.openxmlformats.org/officeDocument/2006/relationships/hyperlink" Target="#Kalender!A1"/><Relationship Id="rId18" Type="http://schemas.openxmlformats.org/officeDocument/2006/relationships/image" Target="../media/image6.emf"/><Relationship Id="rId3" Type="http://schemas.openxmlformats.org/officeDocument/2006/relationships/hyperlink" Target="#Projektauftrag!G4"/><Relationship Id="rId7" Type="http://schemas.openxmlformats.org/officeDocument/2006/relationships/hyperlink" Target="#Projektauftrag!A1"/><Relationship Id="rId12" Type="http://schemas.openxmlformats.org/officeDocument/2006/relationships/image" Target="../media/image11.png"/><Relationship Id="rId17" Type="http://schemas.openxmlformats.org/officeDocument/2006/relationships/hyperlink" Target="#Projektteam!B11"/><Relationship Id="rId2" Type="http://schemas.openxmlformats.org/officeDocument/2006/relationships/image" Target="../media/image13.png"/><Relationship Id="rId16" Type="http://schemas.openxmlformats.org/officeDocument/2006/relationships/hyperlink" Target="#Detailplan!AUA14"/><Relationship Id="rId1" Type="http://schemas.openxmlformats.org/officeDocument/2006/relationships/chart" Target="../charts/chart6.xml"/><Relationship Id="rId6" Type="http://schemas.openxmlformats.org/officeDocument/2006/relationships/hyperlink" Target="#Projektteam!A1"/><Relationship Id="rId11" Type="http://schemas.openxmlformats.org/officeDocument/2006/relationships/hyperlink" Target="#Projektmgmt!A1"/><Relationship Id="rId5" Type="http://schemas.openxmlformats.org/officeDocument/2006/relationships/image" Target="../media/image12.png"/><Relationship Id="rId15" Type="http://schemas.openxmlformats.org/officeDocument/2006/relationships/hyperlink" Target="#Detailplan!C15"/><Relationship Id="rId10" Type="http://schemas.openxmlformats.org/officeDocument/2006/relationships/hyperlink" Target="http://www.2imanagement.ch/?id=57&amp;helpdesk&amp;topic=9" TargetMode="External"/><Relationship Id="rId4" Type="http://schemas.openxmlformats.org/officeDocument/2006/relationships/hyperlink" Target="#Projektauftrag!J11"/><Relationship Id="rId9" Type="http://schemas.openxmlformats.org/officeDocument/2006/relationships/hyperlink" Target="#Projektstand!A1"/><Relationship Id="rId14" Type="http://schemas.openxmlformats.org/officeDocument/2006/relationships/hyperlink" Target="#Detailplan!L14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hyperlink" Target="#Indicators!C19"/><Relationship Id="rId18" Type="http://schemas.openxmlformats.org/officeDocument/2006/relationships/hyperlink" Target="#Projektteam!A1"/><Relationship Id="rId26" Type="http://schemas.openxmlformats.org/officeDocument/2006/relationships/image" Target="../media/image9.jpeg"/><Relationship Id="rId3" Type="http://schemas.openxmlformats.org/officeDocument/2006/relationships/chart" Target="../charts/chart9.xml"/><Relationship Id="rId21" Type="http://schemas.openxmlformats.org/officeDocument/2006/relationships/hyperlink" Target="#Projektstand!A1"/><Relationship Id="rId7" Type="http://schemas.openxmlformats.org/officeDocument/2006/relationships/hyperlink" Target="#Projektmgmt!A1"/><Relationship Id="rId12" Type="http://schemas.openxmlformats.org/officeDocument/2006/relationships/hyperlink" Target="#Indicators!C8"/><Relationship Id="rId17" Type="http://schemas.openxmlformats.org/officeDocument/2006/relationships/hyperlink" Target="#Indicators!C63"/><Relationship Id="rId25" Type="http://schemas.openxmlformats.org/officeDocument/2006/relationships/hyperlink" Target="#'Liste de t&#226;ches'!C6"/><Relationship Id="rId2" Type="http://schemas.openxmlformats.org/officeDocument/2006/relationships/chart" Target="../charts/chart8.xml"/><Relationship Id="rId16" Type="http://schemas.openxmlformats.org/officeDocument/2006/relationships/hyperlink" Target="#Indicators!C52"/><Relationship Id="rId20" Type="http://schemas.openxmlformats.org/officeDocument/2006/relationships/hyperlink" Target="#Detailplan!A1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11" Type="http://schemas.openxmlformats.org/officeDocument/2006/relationships/hyperlink" Target="http://www.2imanagement.ch/?id=57&amp;helpdesk&amp;topic=9" TargetMode="External"/><Relationship Id="rId24" Type="http://schemas.openxmlformats.org/officeDocument/2006/relationships/image" Target="../media/image8.png"/><Relationship Id="rId5" Type="http://schemas.openxmlformats.org/officeDocument/2006/relationships/chart" Target="../charts/chart11.xml"/><Relationship Id="rId15" Type="http://schemas.openxmlformats.org/officeDocument/2006/relationships/hyperlink" Target="#Indicators!C41"/><Relationship Id="rId23" Type="http://schemas.openxmlformats.org/officeDocument/2006/relationships/hyperlink" Target="#Logo!D14"/><Relationship Id="rId10" Type="http://schemas.openxmlformats.org/officeDocument/2006/relationships/hyperlink" Target="#Projektbudget!E8"/><Relationship Id="rId19" Type="http://schemas.openxmlformats.org/officeDocument/2006/relationships/hyperlink" Target="#Projektauftrag!A1"/><Relationship Id="rId4" Type="http://schemas.openxmlformats.org/officeDocument/2006/relationships/chart" Target="../charts/chart10.xml"/><Relationship Id="rId9" Type="http://schemas.openxmlformats.org/officeDocument/2006/relationships/image" Target="../media/image6.emf"/><Relationship Id="rId14" Type="http://schemas.openxmlformats.org/officeDocument/2006/relationships/hyperlink" Target="#Indicators!C30"/><Relationship Id="rId22" Type="http://schemas.openxmlformats.org/officeDocument/2006/relationships/hyperlink" Target="#Projektteam!AD1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2imanagement.ch/?id=57&amp;helpdesk&amp;topic=9" TargetMode="External"/><Relationship Id="rId3" Type="http://schemas.openxmlformats.org/officeDocument/2006/relationships/chart" Target="../charts/chart15.xml"/><Relationship Id="rId7" Type="http://schemas.openxmlformats.org/officeDocument/2006/relationships/hyperlink" Target="#Projektbudget!E8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image" Target="../media/image6.emf"/><Relationship Id="rId5" Type="http://schemas.openxmlformats.org/officeDocument/2006/relationships/image" Target="../media/image11.png"/><Relationship Id="rId10" Type="http://schemas.openxmlformats.org/officeDocument/2006/relationships/hyperlink" Target="#Projektteam!AD11"/><Relationship Id="rId4" Type="http://schemas.openxmlformats.org/officeDocument/2006/relationships/hyperlink" Target="#Projektmgmt!A1"/><Relationship Id="rId9" Type="http://schemas.openxmlformats.org/officeDocument/2006/relationships/hyperlink" Target="#Projektauftrag!B16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#Projektauftrag!J18"/><Relationship Id="rId7" Type="http://schemas.openxmlformats.org/officeDocument/2006/relationships/hyperlink" Target="#Projektmgmt!A1"/><Relationship Id="rId2" Type="http://schemas.openxmlformats.org/officeDocument/2006/relationships/hyperlink" Target="#Projektauftrag!J17"/><Relationship Id="rId1" Type="http://schemas.openxmlformats.org/officeDocument/2006/relationships/hyperlink" Target="#Projektauftrag!J16"/><Relationship Id="rId6" Type="http://schemas.openxmlformats.org/officeDocument/2006/relationships/hyperlink" Target="#Projektauftrag!J21"/><Relationship Id="rId5" Type="http://schemas.openxmlformats.org/officeDocument/2006/relationships/hyperlink" Target="#Projektauftrag!J20"/><Relationship Id="rId4" Type="http://schemas.openxmlformats.org/officeDocument/2006/relationships/hyperlink" Target="#Projektauftrag!J19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Projektstand!A1"/><Relationship Id="rId3" Type="http://schemas.openxmlformats.org/officeDocument/2006/relationships/hyperlink" Target="http://www.2imanagement.ch/?id=57&amp;helpdesk&amp;topic=9" TargetMode="External"/><Relationship Id="rId7" Type="http://schemas.openxmlformats.org/officeDocument/2006/relationships/hyperlink" Target="#Detailplan!A1"/><Relationship Id="rId2" Type="http://schemas.openxmlformats.org/officeDocument/2006/relationships/image" Target="../media/image6.emf"/><Relationship Id="rId1" Type="http://schemas.openxmlformats.org/officeDocument/2006/relationships/hyperlink" Target="#Stakeholder!C5"/><Relationship Id="rId6" Type="http://schemas.openxmlformats.org/officeDocument/2006/relationships/hyperlink" Target="#Projektauftrag!A1"/><Relationship Id="rId5" Type="http://schemas.openxmlformats.org/officeDocument/2006/relationships/hyperlink" Target="#Projektteam!A1"/><Relationship Id="rId4" Type="http://schemas.openxmlformats.org/officeDocument/2006/relationships/chart" Target="../charts/chart16.xml"/><Relationship Id="rId9" Type="http://schemas.openxmlformats.org/officeDocument/2006/relationships/hyperlink" Target="#Risikomgmt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9" TargetMode="External"/><Relationship Id="rId2" Type="http://schemas.openxmlformats.org/officeDocument/2006/relationships/image" Target="../media/image6.emf"/><Relationship Id="rId1" Type="http://schemas.openxmlformats.org/officeDocument/2006/relationships/hyperlink" Target="#Projektteam!A1"/><Relationship Id="rId4" Type="http://schemas.openxmlformats.org/officeDocument/2006/relationships/image" Target="../media/image12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Projektstand!A1"/><Relationship Id="rId1" Type="http://schemas.openxmlformats.org/officeDocument/2006/relationships/image" Target="../media/image6.emf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hyperlink" Target="#Kommunikation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hyperlink" Target="#Detailplan!A1"/><Relationship Id="rId3" Type="http://schemas.openxmlformats.org/officeDocument/2006/relationships/hyperlink" Target="#Projektmgmt!A1"/><Relationship Id="rId7" Type="http://schemas.openxmlformats.org/officeDocument/2006/relationships/hyperlink" Target="#Projektteam!C10"/><Relationship Id="rId12" Type="http://schemas.openxmlformats.org/officeDocument/2006/relationships/hyperlink" Target="#Projektauftrag!A1"/><Relationship Id="rId2" Type="http://schemas.openxmlformats.org/officeDocument/2006/relationships/chart" Target="../charts/chart18.xml"/><Relationship Id="rId16" Type="http://schemas.openxmlformats.org/officeDocument/2006/relationships/image" Target="../media/image14.png"/><Relationship Id="rId1" Type="http://schemas.openxmlformats.org/officeDocument/2006/relationships/chart" Target="../charts/chart17.xml"/><Relationship Id="rId6" Type="http://schemas.openxmlformats.org/officeDocument/2006/relationships/chart" Target="../charts/chart19.xml"/><Relationship Id="rId11" Type="http://schemas.openxmlformats.org/officeDocument/2006/relationships/hyperlink" Target="#Projektteam!A1"/><Relationship Id="rId5" Type="http://schemas.openxmlformats.org/officeDocument/2006/relationships/hyperlink" Target="#Projektteam!B11"/><Relationship Id="rId15" Type="http://schemas.openxmlformats.org/officeDocument/2006/relationships/hyperlink" Target="#Logo!D12"/><Relationship Id="rId10" Type="http://schemas.openxmlformats.org/officeDocument/2006/relationships/chart" Target="../charts/chart20.xml"/><Relationship Id="rId4" Type="http://schemas.openxmlformats.org/officeDocument/2006/relationships/image" Target="../media/image11.png"/><Relationship Id="rId9" Type="http://schemas.openxmlformats.org/officeDocument/2006/relationships/hyperlink" Target="http://www.2imanagement.ch/?id=57&amp;helpdesk&amp;topic=9" TargetMode="External"/><Relationship Id="rId14" Type="http://schemas.openxmlformats.org/officeDocument/2006/relationships/hyperlink" Target="#Projektstand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11.png"/><Relationship Id="rId1" Type="http://schemas.openxmlformats.org/officeDocument/2006/relationships/hyperlink" Target="#Projektmgmt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11.png"/><Relationship Id="rId1" Type="http://schemas.openxmlformats.org/officeDocument/2006/relationships/hyperlink" Target="#Projektmgmt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7" Type="http://schemas.openxmlformats.org/officeDocument/2006/relationships/image" Target="../media/image15.jpeg"/><Relationship Id="rId2" Type="http://schemas.openxmlformats.org/officeDocument/2006/relationships/image" Target="../media/image11.png"/><Relationship Id="rId1" Type="http://schemas.openxmlformats.org/officeDocument/2006/relationships/hyperlink" Target="#Projektmgmt!A1"/><Relationship Id="rId6" Type="http://schemas.openxmlformats.org/officeDocument/2006/relationships/hyperlink" Target="#'Liste de t&#226;ches'!C6"/><Relationship Id="rId5" Type="http://schemas.openxmlformats.org/officeDocument/2006/relationships/hyperlink" Target="http://www.2imanagement.ch/?id=49" TargetMode="External"/><Relationship Id="rId4" Type="http://schemas.openxmlformats.org/officeDocument/2006/relationships/hyperlink" Target="http://www.2imanagement.ch/?id=57&amp;helpdesk&amp;topic=9" TargetMode="Externa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11.png"/><Relationship Id="rId1" Type="http://schemas.openxmlformats.org/officeDocument/2006/relationships/hyperlink" Target="#Projektmgmt!A1"/><Relationship Id="rId5" Type="http://schemas.openxmlformats.org/officeDocument/2006/relationships/hyperlink" Target="#Notizen!C6"/><Relationship Id="rId4" Type="http://schemas.openxmlformats.org/officeDocument/2006/relationships/hyperlink" Target="http://www.2imanagement.ch/?id=57&amp;helpdesk&amp;topic=9" TargetMode="Externa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hyperlink" Target="#Projektauftrag!A1"/><Relationship Id="rId2" Type="http://schemas.openxmlformats.org/officeDocument/2006/relationships/hyperlink" Target="http://www.2imanagement.ch/?id=57&amp;helpdesk&amp;topic=9" TargetMode="External"/><Relationship Id="rId1" Type="http://schemas.openxmlformats.org/officeDocument/2006/relationships/image" Target="../media/image6.emf"/><Relationship Id="rId6" Type="http://schemas.openxmlformats.org/officeDocument/2006/relationships/hyperlink" Target="#Risikomgmt!A1"/><Relationship Id="rId5" Type="http://schemas.openxmlformats.org/officeDocument/2006/relationships/hyperlink" Target="#Projektstand!A1"/><Relationship Id="rId4" Type="http://schemas.openxmlformats.org/officeDocument/2006/relationships/hyperlink" Target="#Detailplan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hyperlink" Target="#'Swot-Analyse'!A1"/><Relationship Id="rId3" Type="http://schemas.openxmlformats.org/officeDocument/2006/relationships/hyperlink" Target="http://www.2imanagement.ch/?id=57&amp;helpdesk&amp;topic=9" TargetMode="External"/><Relationship Id="rId7" Type="http://schemas.openxmlformats.org/officeDocument/2006/relationships/hyperlink" Target="#Stakeholder!A1"/><Relationship Id="rId2" Type="http://schemas.openxmlformats.org/officeDocument/2006/relationships/image" Target="../media/image6.emf"/><Relationship Id="rId1" Type="http://schemas.openxmlformats.org/officeDocument/2006/relationships/chart" Target="../charts/chart21.xml"/><Relationship Id="rId6" Type="http://schemas.openxmlformats.org/officeDocument/2006/relationships/hyperlink" Target="#Projektstand!A1"/><Relationship Id="rId11" Type="http://schemas.openxmlformats.org/officeDocument/2006/relationships/image" Target="../media/image11.png"/><Relationship Id="rId5" Type="http://schemas.openxmlformats.org/officeDocument/2006/relationships/hyperlink" Target="#Detailplan!A1"/><Relationship Id="rId10" Type="http://schemas.openxmlformats.org/officeDocument/2006/relationships/hyperlink" Target="#Projektmgmt!A1"/><Relationship Id="rId4" Type="http://schemas.openxmlformats.org/officeDocument/2006/relationships/hyperlink" Target="#Projektauftrag!A1"/><Relationship Id="rId9" Type="http://schemas.openxmlformats.org/officeDocument/2006/relationships/hyperlink" Target="#Risikomgmt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hyperlink" Target="#Detailplan!A1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2imanagement.ch/?id=49" TargetMode="External"/><Relationship Id="rId3" Type="http://schemas.openxmlformats.org/officeDocument/2006/relationships/image" Target="../media/image16.jpeg"/><Relationship Id="rId7" Type="http://schemas.openxmlformats.org/officeDocument/2006/relationships/hyperlink" Target="http://www.2imanagement.ch/?id=57&amp;helpdesk&amp;topic=9" TargetMode="External"/><Relationship Id="rId2" Type="http://schemas.openxmlformats.org/officeDocument/2006/relationships/image" Target="../media/image11.png"/><Relationship Id="rId1" Type="http://schemas.openxmlformats.org/officeDocument/2006/relationships/hyperlink" Target="#Projektmgmt!A1"/><Relationship Id="rId6" Type="http://schemas.openxmlformats.org/officeDocument/2006/relationships/hyperlink" Target="#Projektstand!A1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333</xdr:row>
      <xdr:rowOff>0</xdr:rowOff>
    </xdr:from>
    <xdr:to>
      <xdr:col>2</xdr:col>
      <xdr:colOff>223837</xdr:colOff>
      <xdr:row>333</xdr:row>
      <xdr:rowOff>0</xdr:rowOff>
    </xdr:to>
    <xdr:pic>
      <xdr:nvPicPr>
        <xdr:cNvPr id="2" name="Grafik 2150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40185975"/>
          <a:ext cx="185737" cy="200025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333</xdr:row>
      <xdr:rowOff>0</xdr:rowOff>
    </xdr:from>
    <xdr:to>
      <xdr:col>2</xdr:col>
      <xdr:colOff>238099</xdr:colOff>
      <xdr:row>333</xdr:row>
      <xdr:rowOff>0</xdr:rowOff>
    </xdr:to>
    <xdr:pic>
      <xdr:nvPicPr>
        <xdr:cNvPr id="3" name="Grafik 21504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2475" y="40376475"/>
          <a:ext cx="209524" cy="2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333</xdr:row>
      <xdr:rowOff>0</xdr:rowOff>
    </xdr:from>
    <xdr:to>
      <xdr:col>2</xdr:col>
      <xdr:colOff>238125</xdr:colOff>
      <xdr:row>333</xdr:row>
      <xdr:rowOff>0</xdr:rowOff>
    </xdr:to>
    <xdr:pic>
      <xdr:nvPicPr>
        <xdr:cNvPr id="4" name="il_fi" descr="http://www.clker.com/cliparts/r/J/g/C/D/c/free-zone-starts-hi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0557450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38099</xdr:colOff>
      <xdr:row>333</xdr:row>
      <xdr:rowOff>0</xdr:rowOff>
    </xdr:from>
    <xdr:to>
      <xdr:col>2</xdr:col>
      <xdr:colOff>217305</xdr:colOff>
      <xdr:row>333</xdr:row>
      <xdr:rowOff>0</xdr:rowOff>
    </xdr:to>
    <xdr:pic>
      <xdr:nvPicPr>
        <xdr:cNvPr id="5" name="il_fi" descr="http://upload.wikimedia.org/wikipedia/commons/thumb/e/e9/Google_Calendar.png/180px-Google_Calendar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999" y="40786050"/>
          <a:ext cx="179206" cy="1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333</xdr:row>
      <xdr:rowOff>0</xdr:rowOff>
    </xdr:from>
    <xdr:to>
      <xdr:col>3</xdr:col>
      <xdr:colOff>223837</xdr:colOff>
      <xdr:row>333</xdr:row>
      <xdr:rowOff>0</xdr:rowOff>
    </xdr:to>
    <xdr:pic>
      <xdr:nvPicPr>
        <xdr:cNvPr id="6" name="Grafik 3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9804975"/>
          <a:ext cx="185737" cy="200025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333</xdr:row>
      <xdr:rowOff>0</xdr:rowOff>
    </xdr:from>
    <xdr:to>
      <xdr:col>3</xdr:col>
      <xdr:colOff>238099</xdr:colOff>
      <xdr:row>333</xdr:row>
      <xdr:rowOff>0</xdr:rowOff>
    </xdr:to>
    <xdr:pic>
      <xdr:nvPicPr>
        <xdr:cNvPr id="7" name="Grafik 4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2475" y="39995475"/>
          <a:ext cx="209524" cy="2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333</xdr:row>
      <xdr:rowOff>0</xdr:rowOff>
    </xdr:from>
    <xdr:to>
      <xdr:col>3</xdr:col>
      <xdr:colOff>238125</xdr:colOff>
      <xdr:row>333</xdr:row>
      <xdr:rowOff>0</xdr:rowOff>
    </xdr:to>
    <xdr:pic>
      <xdr:nvPicPr>
        <xdr:cNvPr id="8" name="il_fi" descr="http://www.clker.com/cliparts/r/J/g/C/D/c/free-zone-starts-hi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0176450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38099</xdr:colOff>
      <xdr:row>333</xdr:row>
      <xdr:rowOff>0</xdr:rowOff>
    </xdr:from>
    <xdr:to>
      <xdr:col>3</xdr:col>
      <xdr:colOff>217305</xdr:colOff>
      <xdr:row>333</xdr:row>
      <xdr:rowOff>0</xdr:rowOff>
    </xdr:to>
    <xdr:pic>
      <xdr:nvPicPr>
        <xdr:cNvPr id="9" name="il_fi" descr="http://upload.wikimedia.org/wikipedia/commons/thumb/e/e9/Google_Calendar.png/180px-Google_Calendar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999" y="40405050"/>
          <a:ext cx="179206" cy="1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35719</xdr:colOff>
      <xdr:row>333</xdr:row>
      <xdr:rowOff>0</xdr:rowOff>
    </xdr:from>
    <xdr:to>
      <xdr:col>2</xdr:col>
      <xdr:colOff>221456</xdr:colOff>
      <xdr:row>333</xdr:row>
      <xdr:rowOff>0</xdr:rowOff>
    </xdr:to>
    <xdr:pic>
      <xdr:nvPicPr>
        <xdr:cNvPr id="10" name="Grafik 5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9619" y="46672500"/>
          <a:ext cx="185737" cy="200025"/>
        </a:xfrm>
        <a:prstGeom prst="rect">
          <a:avLst/>
        </a:prstGeom>
      </xdr:spPr>
    </xdr:pic>
    <xdr:clientData/>
  </xdr:twoCellAnchor>
  <xdr:twoCellAnchor editAs="oneCell">
    <xdr:from>
      <xdr:col>2</xdr:col>
      <xdr:colOff>23825</xdr:colOff>
      <xdr:row>333</xdr:row>
      <xdr:rowOff>0</xdr:rowOff>
    </xdr:from>
    <xdr:to>
      <xdr:col>2</xdr:col>
      <xdr:colOff>233349</xdr:colOff>
      <xdr:row>333</xdr:row>
      <xdr:rowOff>0</xdr:rowOff>
    </xdr:to>
    <xdr:pic>
      <xdr:nvPicPr>
        <xdr:cNvPr id="11" name="Grafik 5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7725" y="46872525"/>
          <a:ext cx="209524" cy="2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</xdr:colOff>
      <xdr:row>333</xdr:row>
      <xdr:rowOff>0</xdr:rowOff>
    </xdr:from>
    <xdr:to>
      <xdr:col>2</xdr:col>
      <xdr:colOff>252412</xdr:colOff>
      <xdr:row>333</xdr:row>
      <xdr:rowOff>0</xdr:rowOff>
    </xdr:to>
    <xdr:pic>
      <xdr:nvPicPr>
        <xdr:cNvPr id="12" name="il_fi" descr="http://www.clker.com/cliparts/r/J/g/C/D/c/free-zone-starts-hi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" y="4727257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38984</xdr:colOff>
      <xdr:row>333</xdr:row>
      <xdr:rowOff>0</xdr:rowOff>
    </xdr:from>
    <xdr:to>
      <xdr:col>2</xdr:col>
      <xdr:colOff>218190</xdr:colOff>
      <xdr:row>333</xdr:row>
      <xdr:rowOff>0</xdr:rowOff>
    </xdr:to>
    <xdr:pic>
      <xdr:nvPicPr>
        <xdr:cNvPr id="13" name="il_fi" descr="http://upload.wikimedia.org/wikipedia/commons/thumb/e/e9/Google_Calendar.png/180px-Google_Calendar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884" y="47472600"/>
          <a:ext cx="179206" cy="1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42862</xdr:colOff>
      <xdr:row>333</xdr:row>
      <xdr:rowOff>0</xdr:rowOff>
    </xdr:from>
    <xdr:to>
      <xdr:col>2</xdr:col>
      <xdr:colOff>252412</xdr:colOff>
      <xdr:row>333</xdr:row>
      <xdr:rowOff>0</xdr:rowOff>
    </xdr:to>
    <xdr:pic>
      <xdr:nvPicPr>
        <xdr:cNvPr id="14" name="Grafik 61">
          <a:hlinkClick xmlns:r="http://schemas.openxmlformats.org/officeDocument/2006/relationships" r:id="rId5" tooltip="Zuständig/Responsable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66762" y="46310550"/>
          <a:ext cx="209550" cy="209550"/>
        </a:xfrm>
        <a:prstGeom prst="rect">
          <a:avLst/>
        </a:prstGeom>
      </xdr:spPr>
    </xdr:pic>
    <xdr:clientData/>
  </xdr:twoCellAnchor>
  <xdr:twoCellAnchor editAs="oneCell">
    <xdr:from>
      <xdr:col>3</xdr:col>
      <xdr:colOff>35719</xdr:colOff>
      <xdr:row>333</xdr:row>
      <xdr:rowOff>0</xdr:rowOff>
    </xdr:from>
    <xdr:to>
      <xdr:col>3</xdr:col>
      <xdr:colOff>221456</xdr:colOff>
      <xdr:row>333</xdr:row>
      <xdr:rowOff>0</xdr:rowOff>
    </xdr:to>
    <xdr:pic>
      <xdr:nvPicPr>
        <xdr:cNvPr id="15" name="Grafik 4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9619" y="46291500"/>
          <a:ext cx="185737" cy="200025"/>
        </a:xfrm>
        <a:prstGeom prst="rect">
          <a:avLst/>
        </a:prstGeom>
      </xdr:spPr>
    </xdr:pic>
    <xdr:clientData/>
  </xdr:twoCellAnchor>
  <xdr:twoCellAnchor editAs="oneCell">
    <xdr:from>
      <xdr:col>3</xdr:col>
      <xdr:colOff>23825</xdr:colOff>
      <xdr:row>333</xdr:row>
      <xdr:rowOff>0</xdr:rowOff>
    </xdr:from>
    <xdr:to>
      <xdr:col>3</xdr:col>
      <xdr:colOff>233349</xdr:colOff>
      <xdr:row>333</xdr:row>
      <xdr:rowOff>0</xdr:rowOff>
    </xdr:to>
    <xdr:pic>
      <xdr:nvPicPr>
        <xdr:cNvPr id="16" name="Grafik 4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7725" y="46491525"/>
          <a:ext cx="209524" cy="2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</xdr:colOff>
      <xdr:row>333</xdr:row>
      <xdr:rowOff>0</xdr:rowOff>
    </xdr:from>
    <xdr:to>
      <xdr:col>3</xdr:col>
      <xdr:colOff>252412</xdr:colOff>
      <xdr:row>333</xdr:row>
      <xdr:rowOff>0</xdr:rowOff>
    </xdr:to>
    <xdr:pic>
      <xdr:nvPicPr>
        <xdr:cNvPr id="17" name="il_fi" descr="http://www.clker.com/cliparts/r/J/g/C/D/c/free-zone-starts-hi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" y="4689157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38984</xdr:colOff>
      <xdr:row>333</xdr:row>
      <xdr:rowOff>0</xdr:rowOff>
    </xdr:from>
    <xdr:to>
      <xdr:col>3</xdr:col>
      <xdr:colOff>218190</xdr:colOff>
      <xdr:row>333</xdr:row>
      <xdr:rowOff>0</xdr:rowOff>
    </xdr:to>
    <xdr:pic>
      <xdr:nvPicPr>
        <xdr:cNvPr id="18" name="il_fi" descr="http://upload.wikimedia.org/wikipedia/commons/thumb/e/e9/Google_Calendar.png/180px-Google_Calendar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884" y="47091600"/>
          <a:ext cx="179206" cy="1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42862</xdr:colOff>
      <xdr:row>333</xdr:row>
      <xdr:rowOff>0</xdr:rowOff>
    </xdr:from>
    <xdr:to>
      <xdr:col>3</xdr:col>
      <xdr:colOff>252412</xdr:colOff>
      <xdr:row>333</xdr:row>
      <xdr:rowOff>0</xdr:rowOff>
    </xdr:to>
    <xdr:pic>
      <xdr:nvPicPr>
        <xdr:cNvPr id="19" name="Grafik 52">
          <a:hlinkClick xmlns:r="http://schemas.openxmlformats.org/officeDocument/2006/relationships" r:id="rId5" tooltip="Zuständig/Responsable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66762" y="45929550"/>
          <a:ext cx="209550" cy="20955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333</xdr:row>
      <xdr:rowOff>0</xdr:rowOff>
    </xdr:from>
    <xdr:to>
      <xdr:col>3</xdr:col>
      <xdr:colOff>238099</xdr:colOff>
      <xdr:row>333</xdr:row>
      <xdr:rowOff>0</xdr:rowOff>
    </xdr:to>
    <xdr:pic>
      <xdr:nvPicPr>
        <xdr:cNvPr id="20" name="Grafik 4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2475" y="46491525"/>
          <a:ext cx="209524" cy="2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38984</xdr:colOff>
      <xdr:row>333</xdr:row>
      <xdr:rowOff>0</xdr:rowOff>
    </xdr:from>
    <xdr:to>
      <xdr:col>2</xdr:col>
      <xdr:colOff>218190</xdr:colOff>
      <xdr:row>333</xdr:row>
      <xdr:rowOff>0</xdr:rowOff>
    </xdr:to>
    <xdr:pic>
      <xdr:nvPicPr>
        <xdr:cNvPr id="21" name="il_fi" descr="http://upload.wikimedia.org/wikipedia/commons/thumb/e/e9/Google_Calendar.png/180px-Google_Calendar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884" y="47472600"/>
          <a:ext cx="179206" cy="1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38984</xdr:colOff>
      <xdr:row>333</xdr:row>
      <xdr:rowOff>0</xdr:rowOff>
    </xdr:from>
    <xdr:to>
      <xdr:col>3</xdr:col>
      <xdr:colOff>218190</xdr:colOff>
      <xdr:row>333</xdr:row>
      <xdr:rowOff>0</xdr:rowOff>
    </xdr:to>
    <xdr:pic>
      <xdr:nvPicPr>
        <xdr:cNvPr id="22" name="il_fi" descr="http://upload.wikimedia.org/wikipedia/commons/thumb/e/e9/Google_Calendar.png/180px-Google_Calendar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884" y="47091600"/>
          <a:ext cx="179206" cy="1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38984</xdr:colOff>
      <xdr:row>333</xdr:row>
      <xdr:rowOff>0</xdr:rowOff>
    </xdr:from>
    <xdr:to>
      <xdr:col>3</xdr:col>
      <xdr:colOff>218190</xdr:colOff>
      <xdr:row>333</xdr:row>
      <xdr:rowOff>0</xdr:rowOff>
    </xdr:to>
    <xdr:pic>
      <xdr:nvPicPr>
        <xdr:cNvPr id="23" name="il_fi" descr="http://upload.wikimedia.org/wikipedia/commons/thumb/e/e9/Google_Calendar.png/180px-Google_Calendar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884" y="47091600"/>
          <a:ext cx="179206" cy="1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15240</xdr:colOff>
      <xdr:row>598</xdr:row>
      <xdr:rowOff>335280</xdr:rowOff>
    </xdr:from>
    <xdr:to>
      <xdr:col>5</xdr:col>
      <xdr:colOff>3139440</xdr:colOff>
      <xdr:row>641</xdr:row>
      <xdr:rowOff>1280160</xdr:rowOff>
    </xdr:to>
    <xdr:sp macro="" textlink="">
      <xdr:nvSpPr>
        <xdr:cNvPr id="24" name="Rechteck 2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2590800" y="121104660"/>
          <a:ext cx="12230100" cy="18996660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de-CH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149333</xdr:colOff>
      <xdr:row>3</xdr:row>
      <xdr:rowOff>553129</xdr:rowOff>
    </xdr:from>
    <xdr:to>
      <xdr:col>5</xdr:col>
      <xdr:colOff>222233</xdr:colOff>
      <xdr:row>7</xdr:row>
      <xdr:rowOff>111097</xdr:rowOff>
    </xdr:to>
    <xdr:sp macro="" textlink="' '!A7">
      <xdr:nvSpPr>
        <xdr:cNvPr id="195" name="Abschluss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/>
      </xdr:nvSpPr>
      <xdr:spPr>
        <a:xfrm>
          <a:off x="758933" y="1362754"/>
          <a:ext cx="2016000" cy="720018"/>
        </a:xfrm>
        <a:prstGeom prst="chevron">
          <a:avLst>
            <a:gd name="adj" fmla="val 34125"/>
          </a:avLst>
        </a:prstGeom>
        <a:gradFill flip="none" rotWithShape="1">
          <a:gsLst>
            <a:gs pos="9000">
              <a:srgbClr val="6BBBC1"/>
            </a:gs>
            <a:gs pos="100000">
              <a:srgbClr val="DEF1F2"/>
            </a:gs>
          </a:gsLst>
          <a:lin ang="16200000" scaled="0"/>
          <a:tileRect/>
        </a:gradFill>
        <a:ln w="12700" cap="flat" cmpd="sng" algn="ctr">
          <a:solidFill>
            <a:schemeClr val="bg1"/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>
          <a:noAutofit/>
        </a:bodyPr>
        <a:lstStyle/>
        <a:p>
          <a:pPr marL="0" lvl="0" indent="0" algn="ctr" defTabSz="457200" rtl="0" fontAlgn="auto">
            <a:lnSpc>
              <a:spcPct val="90000"/>
            </a:lnSpc>
            <a:spcBef>
              <a:spcPts val="0"/>
            </a:spcBef>
            <a:spcAft>
              <a:spcPts val="0"/>
            </a:spcAft>
            <a:buFont typeface="Times" pitchFamily="18" charset="0"/>
            <a:buNone/>
          </a:pPr>
          <a:fld id="{D89E8CB9-11BD-41EE-B7AA-BB9D3BD08A8C}" type="TxLink">
            <a:rPr lang="en-US" sz="1600" b="0" i="0" u="none" strike="noStrike" kern="1200">
              <a:solidFill>
                <a:srgbClr val="388288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57200" rtl="0" fontAlgn="auto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Font typeface="Times" pitchFamily="18" charset="0"/>
              <a:buNone/>
            </a:pPr>
            <a:t>Initialisation</a:t>
          </a:fld>
          <a:endParaRPr lang="de-CH" sz="1600" b="0" i="0" u="none" strike="noStrike" kern="1200">
            <a:solidFill>
              <a:srgbClr val="388288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twoCellAnchor>
  <xdr:twoCellAnchor>
    <xdr:from>
      <xdr:col>13</xdr:col>
      <xdr:colOff>154720</xdr:colOff>
      <xdr:row>3</xdr:row>
      <xdr:rowOff>552586</xdr:rowOff>
    </xdr:from>
    <xdr:to>
      <xdr:col>14</xdr:col>
      <xdr:colOff>694345</xdr:colOff>
      <xdr:row>7</xdr:row>
      <xdr:rowOff>110554</xdr:rowOff>
    </xdr:to>
    <xdr:sp macro="" textlink="' '!A11">
      <xdr:nvSpPr>
        <xdr:cNvPr id="100" name="Abschluss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/>
      </xdr:nvSpPr>
      <xdr:spPr>
        <a:xfrm>
          <a:off x="8308120" y="1360306"/>
          <a:ext cx="2056005" cy="693348"/>
        </a:xfrm>
        <a:prstGeom prst="chevron">
          <a:avLst>
            <a:gd name="adj" fmla="val 34125"/>
          </a:avLst>
        </a:prstGeom>
        <a:gradFill flip="none" rotWithShape="1">
          <a:gsLst>
            <a:gs pos="9000">
              <a:srgbClr val="99A4BD"/>
            </a:gs>
            <a:gs pos="100000">
              <a:srgbClr val="DCE0E8"/>
            </a:gs>
          </a:gsLst>
          <a:lin ang="16200000" scaled="0"/>
          <a:tileRect/>
        </a:gradFill>
        <a:ln w="12700" cap="flat" cmpd="sng" algn="ctr">
          <a:solidFill>
            <a:schemeClr val="bg1"/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>
          <a:noAutofit/>
        </a:bodyPr>
        <a:lstStyle/>
        <a:p>
          <a:pPr marL="0" lvl="0" indent="0" algn="ctr" defTabSz="457200" rtl="0" fontAlgn="auto">
            <a:lnSpc>
              <a:spcPct val="90000"/>
            </a:lnSpc>
            <a:spcBef>
              <a:spcPts val="0"/>
            </a:spcBef>
            <a:spcAft>
              <a:spcPts val="0"/>
            </a:spcAft>
            <a:buFont typeface="Times" pitchFamily="18" charset="0"/>
            <a:buNone/>
          </a:pPr>
          <a:fld id="{C96F6E6D-1534-4457-8353-93C50B497F67}" type="TxLink">
            <a:rPr lang="de-CH" sz="1600" b="0" kern="1200">
              <a:solidFill>
                <a:srgbClr val="5B6A8B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57200" rtl="0" fontAlgn="auto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Font typeface="Times" pitchFamily="18" charset="0"/>
              <a:buNone/>
            </a:pPr>
            <a:t>Finalisation</a:t>
          </a:fld>
          <a:endParaRPr lang="de-CH" sz="1600" b="0" kern="1200">
            <a:solidFill>
              <a:srgbClr val="5B6A8B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5</xdr:col>
      <xdr:colOff>38761</xdr:colOff>
      <xdr:row>3</xdr:row>
      <xdr:rowOff>552994</xdr:rowOff>
    </xdr:from>
    <xdr:to>
      <xdr:col>8</xdr:col>
      <xdr:colOff>187861</xdr:colOff>
      <xdr:row>7</xdr:row>
      <xdr:rowOff>110962</xdr:rowOff>
    </xdr:to>
    <xdr:sp macro="" textlink="' '!A8">
      <xdr:nvSpPr>
        <xdr:cNvPr id="101" name="Abschluss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/>
      </xdr:nvSpPr>
      <xdr:spPr>
        <a:xfrm>
          <a:off x="2591461" y="1362619"/>
          <a:ext cx="2016000" cy="720018"/>
        </a:xfrm>
        <a:prstGeom prst="chevron">
          <a:avLst>
            <a:gd name="adj" fmla="val 34125"/>
          </a:avLst>
        </a:prstGeom>
        <a:gradFill flip="none" rotWithShape="1">
          <a:gsLst>
            <a:gs pos="9000">
              <a:srgbClr val="58A5C4"/>
            </a:gs>
            <a:gs pos="100000">
              <a:srgbClr val="BADBE8"/>
            </a:gs>
          </a:gsLst>
          <a:lin ang="16200000" scaled="0"/>
          <a:tileRect/>
        </a:gradFill>
        <a:ln w="12700" cap="flat" cmpd="sng" algn="ctr">
          <a:solidFill>
            <a:schemeClr val="bg1"/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>
          <a:noAutofit/>
        </a:bodyPr>
        <a:lstStyle/>
        <a:p>
          <a:pPr marL="0" lvl="0" indent="0" algn="ctr" defTabSz="457200" rtl="0" fontAlgn="auto">
            <a:lnSpc>
              <a:spcPct val="90000"/>
            </a:lnSpc>
            <a:spcBef>
              <a:spcPts val="0"/>
            </a:spcBef>
            <a:spcAft>
              <a:spcPts val="0"/>
            </a:spcAft>
            <a:buFont typeface="Times" pitchFamily="18" charset="0"/>
            <a:buNone/>
          </a:pPr>
          <a:fld id="{1F00B687-D5CC-40FA-A947-13251CC22EE3}" type="TxLink">
            <a:rPr lang="en-US" sz="1600" b="0" kern="1200">
              <a:solidFill>
                <a:srgbClr val="31718B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57200" rtl="0" fontAlgn="auto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Font typeface="Times" pitchFamily="18" charset="0"/>
              <a:buNone/>
            </a:pPr>
            <a:t>Planification</a:t>
          </a:fld>
          <a:endParaRPr lang="de-CH" sz="1600" b="0" kern="1200">
            <a:solidFill>
              <a:srgbClr val="31718B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8</xdr:col>
      <xdr:colOff>4389</xdr:colOff>
      <xdr:row>3</xdr:row>
      <xdr:rowOff>552858</xdr:rowOff>
    </xdr:from>
    <xdr:to>
      <xdr:col>11</xdr:col>
      <xdr:colOff>572589</xdr:colOff>
      <xdr:row>7</xdr:row>
      <xdr:rowOff>110826</xdr:rowOff>
    </xdr:to>
    <xdr:sp macro="" textlink="' '!A9">
      <xdr:nvSpPr>
        <xdr:cNvPr id="104" name="Abschluss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/>
      </xdr:nvSpPr>
      <xdr:spPr>
        <a:xfrm>
          <a:off x="4423989" y="1362483"/>
          <a:ext cx="2016000" cy="720018"/>
        </a:xfrm>
        <a:prstGeom prst="chevron">
          <a:avLst>
            <a:gd name="adj" fmla="val 34125"/>
          </a:avLst>
        </a:prstGeom>
        <a:gradFill flip="none" rotWithShape="1">
          <a:gsLst>
            <a:gs pos="9000">
              <a:srgbClr val="8BA2C7"/>
            </a:gs>
            <a:gs pos="100000">
              <a:srgbClr val="D5DDEB"/>
            </a:gs>
          </a:gsLst>
          <a:lin ang="16200000" scaled="0"/>
          <a:tileRect/>
        </a:gradFill>
        <a:ln w="12700" cap="flat" cmpd="sng" algn="ctr">
          <a:solidFill>
            <a:schemeClr val="bg1"/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>
          <a:noAutofit/>
        </a:bodyPr>
        <a:lstStyle/>
        <a:p>
          <a:pPr marL="0" lvl="0" indent="0" algn="ctr" defTabSz="457200" rtl="0" fontAlgn="auto">
            <a:lnSpc>
              <a:spcPct val="90000"/>
            </a:lnSpc>
            <a:spcBef>
              <a:spcPts val="0"/>
            </a:spcBef>
            <a:spcAft>
              <a:spcPts val="0"/>
            </a:spcAft>
            <a:buFont typeface="Times" pitchFamily="18" charset="0"/>
            <a:buNone/>
          </a:pPr>
          <a:fld id="{2E587A16-6FD3-440E-8489-5370934A5318}" type="TxLink">
            <a:rPr lang="en-US" sz="1600" b="0" kern="1200">
              <a:solidFill>
                <a:srgbClr val="5273A8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57200" rtl="0" fontAlgn="auto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Font typeface="Times" pitchFamily="18" charset="0"/>
              <a:buNone/>
            </a:pPr>
            <a:t>Décision</a:t>
          </a:fld>
          <a:endParaRPr lang="de-CH" sz="1600" b="0" kern="1200">
            <a:solidFill>
              <a:srgbClr val="5273A8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11</xdr:col>
      <xdr:colOff>389117</xdr:colOff>
      <xdr:row>3</xdr:row>
      <xdr:rowOff>552722</xdr:rowOff>
    </xdr:from>
    <xdr:to>
      <xdr:col>13</xdr:col>
      <xdr:colOff>338192</xdr:colOff>
      <xdr:row>7</xdr:row>
      <xdr:rowOff>110690</xdr:rowOff>
    </xdr:to>
    <xdr:sp macro="" textlink="' '!A10">
      <xdr:nvSpPr>
        <xdr:cNvPr id="106" name="Abschluss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/>
      </xdr:nvSpPr>
      <xdr:spPr>
        <a:xfrm>
          <a:off x="6256517" y="1362347"/>
          <a:ext cx="2016000" cy="720018"/>
        </a:xfrm>
        <a:prstGeom prst="chevron">
          <a:avLst>
            <a:gd name="adj" fmla="val 34125"/>
          </a:avLst>
        </a:prstGeom>
        <a:gradFill flip="none" rotWithShape="1">
          <a:gsLst>
            <a:gs pos="9000">
              <a:srgbClr val="9EA2C7"/>
            </a:gs>
            <a:gs pos="100000">
              <a:srgbClr val="DCE0E8"/>
            </a:gs>
          </a:gsLst>
          <a:lin ang="16200000" scaled="0"/>
          <a:tileRect/>
        </a:gradFill>
        <a:ln w="12700" cap="flat" cmpd="sng" algn="ctr">
          <a:solidFill>
            <a:schemeClr val="bg1"/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>
          <a:noAutofit/>
        </a:bodyPr>
        <a:lstStyle/>
        <a:p>
          <a:pPr marL="0" lvl="0" indent="0" algn="ctr" defTabSz="457200" rtl="0" fontAlgn="auto">
            <a:lnSpc>
              <a:spcPct val="90000"/>
            </a:lnSpc>
            <a:spcBef>
              <a:spcPts val="0"/>
            </a:spcBef>
            <a:spcAft>
              <a:spcPts val="0"/>
            </a:spcAft>
            <a:buFont typeface="Times" pitchFamily="18" charset="0"/>
            <a:buNone/>
          </a:pPr>
          <a:fld id="{801BBBDC-459A-4156-8F69-11A3CC476175}" type="TxLink">
            <a:rPr lang="en-US" sz="1600" b="0" kern="1200">
              <a:solidFill>
                <a:srgbClr val="4D4D73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57200" rtl="0" fontAlgn="auto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Font typeface="Times" pitchFamily="18" charset="0"/>
              <a:buNone/>
            </a:pPr>
            <a:t>Réalisation</a:t>
          </a:fld>
          <a:endParaRPr lang="de-CH" sz="1600" b="0" kern="1200">
            <a:solidFill>
              <a:srgbClr val="4D4D73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14</xdr:col>
      <xdr:colOff>510874</xdr:colOff>
      <xdr:row>3</xdr:row>
      <xdr:rowOff>553129</xdr:rowOff>
    </xdr:from>
    <xdr:to>
      <xdr:col>15</xdr:col>
      <xdr:colOff>156066</xdr:colOff>
      <xdr:row>7</xdr:row>
      <xdr:rowOff>111097</xdr:rowOff>
    </xdr:to>
    <xdr:grpSp>
      <xdr:nvGrpSpPr>
        <xdr:cNvPr id="26" name="Gruppieren 25">
          <a:hlinkClick xmlns:r="http://schemas.openxmlformats.org/officeDocument/2006/relationships" r:id="rId1" tooltip="Controlling"/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GrpSpPr/>
      </xdr:nvGrpSpPr>
      <xdr:grpSpPr>
        <a:xfrm>
          <a:off x="10180654" y="1360849"/>
          <a:ext cx="597692" cy="693348"/>
          <a:chOff x="9797749" y="1362754"/>
          <a:chExt cx="569117" cy="720018"/>
        </a:xfrm>
      </xdr:grpSpPr>
      <xdr:sp macro="" textlink="">
        <xdr:nvSpPr>
          <xdr:cNvPr id="107" name="Abschluss">
            <a:extLst>
              <a:ext uri="{FF2B5EF4-FFF2-40B4-BE49-F238E27FC236}">
                <a16:creationId xmlns:a16="http://schemas.microsoft.com/office/drawing/2014/main" id="{00000000-0008-0000-0200-00006B000000}"/>
              </a:ext>
            </a:extLst>
          </xdr:cNvPr>
          <xdr:cNvSpPr/>
        </xdr:nvSpPr>
        <xdr:spPr>
          <a:xfrm>
            <a:off x="9797749" y="1362754"/>
            <a:ext cx="569117" cy="720018"/>
          </a:xfrm>
          <a:prstGeom prst="chevron">
            <a:avLst>
              <a:gd name="adj" fmla="val 41685"/>
            </a:avLst>
          </a:prstGeom>
          <a:gradFill flip="none" rotWithShape="1">
            <a:gsLst>
              <a:gs pos="9000">
                <a:srgbClr val="7584A7"/>
              </a:gs>
              <a:gs pos="100000">
                <a:srgbClr val="DCE0E8"/>
              </a:gs>
            </a:gsLst>
            <a:lin ang="16200000" scaled="0"/>
            <a:tileRect/>
          </a:gradFill>
          <a:ln w="12700" cap="flat" cmpd="sng" algn="ctr">
            <a:solidFill>
              <a:schemeClr val="bg1"/>
            </a:solidFill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t">
            <a:noAutofit/>
          </a:bodyPr>
          <a:lstStyle/>
          <a:p>
            <a:pPr marL="0" lvl="0" indent="0" algn="ctr" defTabSz="457200" rtl="0" fontAlgn="auto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Font typeface="Times" pitchFamily="18" charset="0"/>
              <a:buNone/>
            </a:pPr>
            <a:endParaRPr lang="de-CH" sz="1400" b="0" kern="1200">
              <a:solidFill>
                <a:srgbClr val="5B6A8B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Projektcontrolling!A4">
        <xdr:nvSpPr>
          <xdr:cNvPr id="40" name="TextBox 39">
            <a:extLst>
              <a:ext uri="{FF2B5EF4-FFF2-40B4-BE49-F238E27FC236}">
                <a16:creationId xmlns:a16="http://schemas.microsoft.com/office/drawing/2014/main" id="{00000000-0008-0000-0200-000028000000}"/>
              </a:ext>
            </a:extLst>
          </xdr:cNvPr>
          <xdr:cNvSpPr txBox="1"/>
        </xdr:nvSpPr>
        <xdr:spPr>
          <a:xfrm>
            <a:off x="10092350" y="1657480"/>
            <a:ext cx="150301" cy="161721"/>
          </a:xfrm>
          <a:prstGeom prst="rect">
            <a:avLst/>
          </a:prstGeom>
          <a:noFill/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>
            <a:noAutofit/>
          </a:bodyPr>
          <a:lstStyle/>
          <a:p>
            <a:pPr marL="0" lvl="0" indent="0" algn="ctr" defTabSz="457200" rtl="0" fontAlgn="auto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Font typeface="Times" pitchFamily="18" charset="0"/>
              <a:buNone/>
            </a:pPr>
            <a:fld id="{C15B6326-8B2D-4097-A0D4-0CFDB89D48E3}" type="TxLink">
              <a:rPr lang="en-US" sz="1400" b="0" kern="120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lvl="0" indent="0" algn="ctr" defTabSz="457200" rtl="0" fontAlgn="auto">
                <a:lnSpc>
                  <a:spcPct val="90000"/>
                </a:lnSpc>
                <a:spcBef>
                  <a:spcPts val="0"/>
                </a:spcBef>
                <a:spcAft>
                  <a:spcPts val="0"/>
                </a:spcAft>
                <a:buFont typeface="Times" pitchFamily="18" charset="0"/>
                <a:buNone/>
              </a:pPr>
              <a:t>1</a:t>
            </a:fld>
            <a:endParaRPr lang="fr-CH" sz="1400" b="0" kern="1200">
              <a:solidFill>
                <a:schemeClr val="bg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2</xdr:col>
      <xdr:colOff>191334</xdr:colOff>
      <xdr:row>3</xdr:row>
      <xdr:rowOff>552450</xdr:rowOff>
    </xdr:from>
    <xdr:to>
      <xdr:col>4</xdr:col>
      <xdr:colOff>332805</xdr:colOff>
      <xdr:row>7</xdr:row>
      <xdr:rowOff>110418</xdr:rowOff>
    </xdr:to>
    <xdr:grpSp>
      <xdr:nvGrpSpPr>
        <xdr:cNvPr id="18" name="Gruppieren 1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GrpSpPr/>
      </xdr:nvGrpSpPr>
      <xdr:grpSpPr>
        <a:xfrm>
          <a:off x="328494" y="1360170"/>
          <a:ext cx="629151" cy="693348"/>
          <a:chOff x="328493" y="1360170"/>
          <a:chExt cx="629152" cy="693348"/>
        </a:xfrm>
      </xdr:grpSpPr>
      <xdr:sp macro="" textlink="">
        <xdr:nvSpPr>
          <xdr:cNvPr id="119" name="Abschluss">
            <a:extLst>
              <a:ext uri="{FF2B5EF4-FFF2-40B4-BE49-F238E27FC236}">
                <a16:creationId xmlns:a16="http://schemas.microsoft.com/office/drawing/2014/main" id="{00000000-0008-0000-0200-000077000000}"/>
              </a:ext>
            </a:extLst>
          </xdr:cNvPr>
          <xdr:cNvSpPr/>
        </xdr:nvSpPr>
        <xdr:spPr>
          <a:xfrm>
            <a:off x="366726" y="1360170"/>
            <a:ext cx="590919" cy="693348"/>
          </a:xfrm>
          <a:prstGeom prst="chevron">
            <a:avLst>
              <a:gd name="adj" fmla="val 40032"/>
            </a:avLst>
          </a:prstGeom>
          <a:gradFill flip="none" rotWithShape="1">
            <a:gsLst>
              <a:gs pos="9000">
                <a:srgbClr val="46A1A8"/>
              </a:gs>
              <a:gs pos="100000">
                <a:srgbClr val="DEF1F2"/>
              </a:gs>
            </a:gsLst>
            <a:lin ang="16200000" scaled="0"/>
            <a:tileRect/>
          </a:gradFill>
          <a:ln w="12700" cap="flat" cmpd="sng" algn="ctr">
            <a:solidFill>
              <a:schemeClr val="bg1"/>
            </a:solidFill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t">
            <a:noAutofit/>
          </a:bodyPr>
          <a:lstStyle/>
          <a:p>
            <a:pPr marL="0" lvl="0" indent="0" algn="ctr" defTabSz="457200" rtl="0" fontAlgn="auto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Font typeface="Times" pitchFamily="18" charset="0"/>
              <a:buNone/>
            </a:pPr>
            <a:endParaRPr lang="de-CH" sz="1600" b="0" i="0" u="none" strike="noStrike" kern="1200">
              <a:solidFill>
                <a:srgbClr val="388288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120" name="Textfeld 119">
            <a:extLst>
              <a:ext uri="{FF2B5EF4-FFF2-40B4-BE49-F238E27FC236}">
                <a16:creationId xmlns:a16="http://schemas.microsoft.com/office/drawing/2014/main" id="{00000000-0008-0000-0200-000078000000}"/>
              </a:ext>
            </a:extLst>
          </xdr:cNvPr>
          <xdr:cNvSpPr txBox="1"/>
        </xdr:nvSpPr>
        <xdr:spPr>
          <a:xfrm rot="16200000">
            <a:off x="107328" y="1628070"/>
            <a:ext cx="618221" cy="175890"/>
          </a:xfrm>
          <a:prstGeom prst="rect">
            <a:avLst/>
          </a:prstGeom>
          <a:noFill/>
          <a:ln>
            <a:noFill/>
          </a:ln>
          <a:scene3d>
            <a:camera prst="orthographicFront">
              <a:rot lat="0" lon="0" rev="0"/>
            </a:camera>
            <a:lightRig rig="threePt" dir="t"/>
          </a:scene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b">
            <a:noAutofit/>
          </a:bodyPr>
          <a:lstStyle/>
          <a:p>
            <a:pPr algn="ctr"/>
            <a:r>
              <a:rPr lang="de-CH" sz="1200">
                <a:solidFill>
                  <a:srgbClr val="388288"/>
                </a:solidFill>
                <a:latin typeface="Calibri Light" panose="020F0302020204030204" pitchFamily="34" charset="0"/>
                <a:cs typeface="Calibri Light" panose="020F0302020204030204" pitchFamily="34" charset="0"/>
                <a:sym typeface="Webdings"/>
              </a:rPr>
              <a:t>Team</a:t>
            </a:r>
            <a:endParaRPr lang="de-CH" sz="1200">
              <a:solidFill>
                <a:srgbClr val="388288"/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Projektteam!A9">
        <xdr:nvSpPr>
          <xdr:cNvPr id="121" name="TextBox 1">
            <a:extLst>
              <a:ext uri="{FF2B5EF4-FFF2-40B4-BE49-F238E27FC236}">
                <a16:creationId xmlns:a16="http://schemas.microsoft.com/office/drawing/2014/main" id="{00000000-0008-0000-0200-000079000000}"/>
              </a:ext>
            </a:extLst>
          </xdr:cNvPr>
          <xdr:cNvSpPr txBox="1"/>
        </xdr:nvSpPr>
        <xdr:spPr>
          <a:xfrm>
            <a:off x="657487" y="1622309"/>
            <a:ext cx="179347" cy="1964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ctr">
            <a:noAutofit/>
          </a:bodyPr>
          <a:lstStyle/>
          <a:p>
            <a:pPr algn="ctr"/>
            <a:fld id="{603E0457-63F0-4E75-8B9B-1D02A8102370}" type="TxLink">
              <a:rPr lang="en-US" sz="1000" b="0" i="0" u="none" strike="noStrike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3</a:t>
            </a:fld>
            <a:endParaRPr lang="fr-CH" sz="1000">
              <a:solidFill>
                <a:schemeClr val="bg1"/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LocksWithSheet="0"/>
  </xdr:twoCellAnchor>
  <xdr:twoCellAnchor editAs="absolute">
    <xdr:from>
      <xdr:col>4</xdr:col>
      <xdr:colOff>974014</xdr:colOff>
      <xdr:row>3</xdr:row>
      <xdr:rowOff>38434</xdr:rowOff>
    </xdr:from>
    <xdr:to>
      <xdr:col>4</xdr:col>
      <xdr:colOff>1340653</xdr:colOff>
      <xdr:row>4</xdr:row>
      <xdr:rowOff>28575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583614" y="848059"/>
          <a:ext cx="366639" cy="5902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r>
            <a:rPr lang="de-CH" sz="2800" b="1">
              <a:solidFill>
                <a:schemeClr val="bg1">
                  <a:lumMod val="7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1</a:t>
          </a:r>
        </a:p>
      </xdr:txBody>
    </xdr:sp>
    <xdr:clientData/>
  </xdr:twoCellAnchor>
  <xdr:twoCellAnchor editAs="absolute">
    <xdr:from>
      <xdr:col>2</xdr:col>
      <xdr:colOff>66676</xdr:colOff>
      <xdr:row>7</xdr:row>
      <xdr:rowOff>148590</xdr:rowOff>
    </xdr:from>
    <xdr:to>
      <xdr:col>14</xdr:col>
      <xdr:colOff>838200</xdr:colOff>
      <xdr:row>10</xdr:row>
      <xdr:rowOff>106680</xdr:rowOff>
    </xdr:to>
    <xdr:graphicFrame macro="">
      <xdr:nvGraphicFramePr>
        <xdr:cNvPr id="88" name="Diagramm 8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6</xdr:col>
      <xdr:colOff>539592</xdr:colOff>
      <xdr:row>3</xdr:row>
      <xdr:rowOff>38434</xdr:rowOff>
    </xdr:from>
    <xdr:to>
      <xdr:col>7</xdr:col>
      <xdr:colOff>39456</xdr:colOff>
      <xdr:row>4</xdr:row>
      <xdr:rowOff>28575</xdr:rowOff>
    </xdr:to>
    <xdr:sp macro="" textlink="">
      <xdr:nvSpPr>
        <xdr:cNvPr id="97" name="Textfeld 96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 txBox="1"/>
      </xdr:nvSpPr>
      <xdr:spPr>
        <a:xfrm>
          <a:off x="3416142" y="848059"/>
          <a:ext cx="366639" cy="5902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r>
            <a:rPr lang="de-CH" sz="2800" b="1">
              <a:solidFill>
                <a:schemeClr val="bg1">
                  <a:lumMod val="7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</a:t>
          </a:r>
        </a:p>
      </xdr:txBody>
    </xdr:sp>
    <xdr:clientData/>
  </xdr:twoCellAnchor>
  <xdr:twoCellAnchor editAs="absolute">
    <xdr:from>
      <xdr:col>10</xdr:col>
      <xdr:colOff>326150</xdr:colOff>
      <xdr:row>3</xdr:row>
      <xdr:rowOff>38434</xdr:rowOff>
    </xdr:from>
    <xdr:to>
      <xdr:col>10</xdr:col>
      <xdr:colOff>688979</xdr:colOff>
      <xdr:row>4</xdr:row>
      <xdr:rowOff>28575</xdr:rowOff>
    </xdr:to>
    <xdr:sp macro="" textlink="">
      <xdr:nvSpPr>
        <xdr:cNvPr id="98" name="Textfeld 9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 txBox="1"/>
      </xdr:nvSpPr>
      <xdr:spPr>
        <a:xfrm>
          <a:off x="5250575" y="848059"/>
          <a:ext cx="362829" cy="5902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r>
            <a:rPr lang="de-CH" sz="2800" b="1">
              <a:solidFill>
                <a:schemeClr val="bg1">
                  <a:lumMod val="7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3</a:t>
          </a:r>
        </a:p>
      </xdr:txBody>
    </xdr:sp>
    <xdr:clientData/>
  </xdr:twoCellAnchor>
  <xdr:twoCellAnchor editAs="absolute">
    <xdr:from>
      <xdr:col>12</xdr:col>
      <xdr:colOff>347975</xdr:colOff>
      <xdr:row>3</xdr:row>
      <xdr:rowOff>38434</xdr:rowOff>
    </xdr:from>
    <xdr:to>
      <xdr:col>12</xdr:col>
      <xdr:colOff>693659</xdr:colOff>
      <xdr:row>4</xdr:row>
      <xdr:rowOff>28575</xdr:rowOff>
    </xdr:to>
    <xdr:sp macro="" textlink="">
      <xdr:nvSpPr>
        <xdr:cNvPr id="99" name="Textfeld 9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 txBox="1"/>
      </xdr:nvSpPr>
      <xdr:spPr>
        <a:xfrm>
          <a:off x="7091675" y="848059"/>
          <a:ext cx="345684" cy="5902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r>
            <a:rPr lang="de-CH" sz="2800" b="1">
              <a:solidFill>
                <a:schemeClr val="bg1">
                  <a:lumMod val="7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4</a:t>
          </a:r>
        </a:p>
      </xdr:txBody>
    </xdr:sp>
    <xdr:clientData/>
  </xdr:twoCellAnchor>
  <xdr:twoCellAnchor editAs="absolute">
    <xdr:from>
      <xdr:col>13</xdr:col>
      <xdr:colOff>960033</xdr:colOff>
      <xdr:row>3</xdr:row>
      <xdr:rowOff>38434</xdr:rowOff>
    </xdr:from>
    <xdr:to>
      <xdr:col>13</xdr:col>
      <xdr:colOff>1365407</xdr:colOff>
      <xdr:row>4</xdr:row>
      <xdr:rowOff>28575</xdr:rowOff>
    </xdr:to>
    <xdr:sp macro="" textlink="">
      <xdr:nvSpPr>
        <xdr:cNvPr id="102" name="Textfeld 101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 txBox="1"/>
      </xdr:nvSpPr>
      <xdr:spPr>
        <a:xfrm>
          <a:off x="8894358" y="848059"/>
          <a:ext cx="405374" cy="5902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r>
            <a:rPr lang="de-CH" sz="2800" b="1">
              <a:solidFill>
                <a:schemeClr val="bg1">
                  <a:lumMod val="7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5</a:t>
          </a:r>
        </a:p>
      </xdr:txBody>
    </xdr:sp>
    <xdr:clientData/>
  </xdr:twoCellAnchor>
  <xdr:twoCellAnchor>
    <xdr:from>
      <xdr:col>4</xdr:col>
      <xdr:colOff>1885949</xdr:colOff>
      <xdr:row>8</xdr:row>
      <xdr:rowOff>93342</xdr:rowOff>
    </xdr:from>
    <xdr:to>
      <xdr:col>14</xdr:col>
      <xdr:colOff>594092</xdr:colOff>
      <xdr:row>9</xdr:row>
      <xdr:rowOff>125193</xdr:rowOff>
    </xdr:to>
    <xdr:grpSp>
      <xdr:nvGrpSpPr>
        <xdr:cNvPr id="9" name="Gruppieren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pSpPr/>
      </xdr:nvGrpSpPr>
      <xdr:grpSpPr>
        <a:xfrm>
          <a:off x="2510789" y="2265042"/>
          <a:ext cx="7753083" cy="214731"/>
          <a:chOff x="2364104" y="2265044"/>
          <a:chExt cx="7538019" cy="222449"/>
        </a:xfrm>
      </xdr:grpSpPr>
      <xdr:sp macro="" textlink="">
        <xdr:nvSpPr>
          <xdr:cNvPr id="94" name="Raute 93" title="Go/NoGo">
            <a:extLst>
              <a:ext uri="{FF2B5EF4-FFF2-40B4-BE49-F238E27FC236}">
                <a16:creationId xmlns:a16="http://schemas.microsoft.com/office/drawing/2014/main" id="{00000000-0008-0000-0200-00005E000000}"/>
              </a:ext>
            </a:extLst>
          </xdr:cNvPr>
          <xdr:cNvSpPr/>
        </xdr:nvSpPr>
        <xdr:spPr>
          <a:xfrm>
            <a:off x="4213859" y="2265044"/>
            <a:ext cx="205038" cy="222448"/>
          </a:xfrm>
          <a:prstGeom prst="diamond">
            <a:avLst/>
          </a:prstGeom>
          <a:gradFill>
            <a:gsLst>
              <a:gs pos="0">
                <a:schemeClr val="accent2">
                  <a:tint val="50000"/>
                  <a:satMod val="300000"/>
                  <a:alpha val="35000"/>
                </a:schemeClr>
              </a:gs>
              <a:gs pos="35000">
                <a:schemeClr val="accent2">
                  <a:tint val="37000"/>
                  <a:satMod val="300000"/>
                </a:schemeClr>
              </a:gs>
              <a:gs pos="100000">
                <a:schemeClr val="accent2">
                  <a:tint val="15000"/>
                  <a:satMod val="350000"/>
                </a:schemeClr>
              </a:gs>
            </a:gsLst>
          </a:gradFill>
          <a:effectLst/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0" tIns="0" rIns="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indent="0" algn="ctr"/>
            <a:endParaRPr lang="de-CH" sz="14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95" name="Raute 94">
            <a:extLst>
              <a:ext uri="{FF2B5EF4-FFF2-40B4-BE49-F238E27FC236}">
                <a16:creationId xmlns:a16="http://schemas.microsoft.com/office/drawing/2014/main" id="{00000000-0008-0000-0200-00005F000000}"/>
              </a:ext>
            </a:extLst>
          </xdr:cNvPr>
          <xdr:cNvSpPr/>
        </xdr:nvSpPr>
        <xdr:spPr>
          <a:xfrm>
            <a:off x="6031230" y="2265045"/>
            <a:ext cx="205038" cy="222448"/>
          </a:xfrm>
          <a:prstGeom prst="diamond">
            <a:avLst/>
          </a:prstGeom>
          <a:gradFill>
            <a:gsLst>
              <a:gs pos="0">
                <a:schemeClr val="accent2">
                  <a:tint val="50000"/>
                  <a:satMod val="300000"/>
                  <a:alpha val="35000"/>
                </a:schemeClr>
              </a:gs>
              <a:gs pos="35000">
                <a:schemeClr val="accent2">
                  <a:tint val="37000"/>
                  <a:satMod val="300000"/>
                </a:schemeClr>
              </a:gs>
              <a:gs pos="100000">
                <a:schemeClr val="accent2">
                  <a:tint val="15000"/>
                  <a:satMod val="350000"/>
                </a:schemeClr>
              </a:gs>
            </a:gsLst>
          </a:gradFill>
          <a:effectLst/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0" tIns="0" rIns="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indent="0" algn="ctr"/>
            <a:endParaRPr lang="de-CH" sz="14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96" name="Raute 95">
            <a:extLst>
              <a:ext uri="{FF2B5EF4-FFF2-40B4-BE49-F238E27FC236}">
                <a16:creationId xmlns:a16="http://schemas.microsoft.com/office/drawing/2014/main" id="{00000000-0008-0000-0200-000060000000}"/>
              </a:ext>
            </a:extLst>
          </xdr:cNvPr>
          <xdr:cNvSpPr/>
        </xdr:nvSpPr>
        <xdr:spPr>
          <a:xfrm>
            <a:off x="7882889" y="2265045"/>
            <a:ext cx="205038" cy="222448"/>
          </a:xfrm>
          <a:prstGeom prst="diamond">
            <a:avLst/>
          </a:prstGeom>
          <a:gradFill>
            <a:gsLst>
              <a:gs pos="0">
                <a:schemeClr val="accent2">
                  <a:tint val="50000"/>
                  <a:satMod val="300000"/>
                  <a:alpha val="35000"/>
                </a:schemeClr>
              </a:gs>
              <a:gs pos="35000">
                <a:schemeClr val="accent2">
                  <a:tint val="37000"/>
                  <a:satMod val="300000"/>
                </a:schemeClr>
              </a:gs>
              <a:gs pos="100000">
                <a:schemeClr val="accent2">
                  <a:tint val="15000"/>
                  <a:satMod val="350000"/>
                </a:schemeClr>
              </a:gs>
            </a:gsLst>
          </a:gradFill>
          <a:effectLst/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0" tIns="0" rIns="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indent="0" algn="ctr"/>
            <a:endParaRPr lang="de-CH" sz="14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72" name="Raute 71">
            <a:extLst>
              <a:ext uri="{FF2B5EF4-FFF2-40B4-BE49-F238E27FC236}">
                <a16:creationId xmlns:a16="http://schemas.microsoft.com/office/drawing/2014/main" id="{00000000-0008-0000-0200-000048000000}"/>
              </a:ext>
            </a:extLst>
          </xdr:cNvPr>
          <xdr:cNvSpPr/>
        </xdr:nvSpPr>
        <xdr:spPr>
          <a:xfrm>
            <a:off x="2364104" y="2265044"/>
            <a:ext cx="205038" cy="222448"/>
          </a:xfrm>
          <a:prstGeom prst="diamond">
            <a:avLst/>
          </a:prstGeom>
          <a:gradFill>
            <a:gsLst>
              <a:gs pos="0">
                <a:schemeClr val="accent2">
                  <a:tint val="50000"/>
                  <a:satMod val="300000"/>
                  <a:alpha val="35000"/>
                </a:schemeClr>
              </a:gs>
              <a:gs pos="35000">
                <a:schemeClr val="accent2">
                  <a:tint val="37000"/>
                  <a:satMod val="300000"/>
                </a:schemeClr>
              </a:gs>
              <a:gs pos="100000">
                <a:schemeClr val="accent2">
                  <a:tint val="15000"/>
                  <a:satMod val="350000"/>
                </a:schemeClr>
              </a:gs>
            </a:gsLst>
          </a:gradFill>
          <a:effectLst/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0" tIns="0" rIns="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indent="0" algn="ctr"/>
            <a:endParaRPr lang="de-CH" sz="14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73" name="Raute 72">
            <a:extLst>
              <a:ext uri="{FF2B5EF4-FFF2-40B4-BE49-F238E27FC236}">
                <a16:creationId xmlns:a16="http://schemas.microsoft.com/office/drawing/2014/main" id="{00000000-0008-0000-0200-000049000000}"/>
              </a:ext>
            </a:extLst>
          </xdr:cNvPr>
          <xdr:cNvSpPr/>
        </xdr:nvSpPr>
        <xdr:spPr>
          <a:xfrm>
            <a:off x="9697085" y="2265045"/>
            <a:ext cx="205038" cy="222448"/>
          </a:xfrm>
          <a:prstGeom prst="diamond">
            <a:avLst/>
          </a:prstGeom>
          <a:gradFill>
            <a:gsLst>
              <a:gs pos="0">
                <a:schemeClr val="accent2">
                  <a:tint val="50000"/>
                  <a:satMod val="300000"/>
                  <a:alpha val="35000"/>
                </a:schemeClr>
              </a:gs>
              <a:gs pos="35000">
                <a:schemeClr val="accent2">
                  <a:tint val="37000"/>
                  <a:satMod val="300000"/>
                </a:schemeClr>
              </a:gs>
              <a:gs pos="100000">
                <a:schemeClr val="accent2">
                  <a:tint val="15000"/>
                  <a:satMod val="350000"/>
                </a:schemeClr>
              </a:gs>
            </a:gsLst>
          </a:gradFill>
          <a:effectLst/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0" tIns="0" rIns="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indent="0" algn="ctr"/>
            <a:endParaRPr lang="de-CH" sz="1400" baseline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4</xdr:col>
      <xdr:colOff>1693545</xdr:colOff>
      <xdr:row>9</xdr:row>
      <xdr:rowOff>161925</xdr:rowOff>
    </xdr:from>
    <xdr:to>
      <xdr:col>14</xdr:col>
      <xdr:colOff>753605</xdr:colOff>
      <xdr:row>10</xdr:row>
      <xdr:rowOff>140872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2318385" y="2516505"/>
          <a:ext cx="8105000" cy="161827"/>
          <a:chOff x="2171700" y="2524125"/>
          <a:chExt cx="7889735" cy="169447"/>
        </a:xfrm>
      </xdr:grpSpPr>
      <xdr:sp macro="" textlink="Projektauftrag!B40">
        <xdr:nvSpPr>
          <xdr:cNvPr id="7" name="TextBox 6">
            <a:hlinkClick xmlns:r="http://schemas.openxmlformats.org/officeDocument/2006/relationships" r:id="rId4" tooltip="Date"/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 txBox="1"/>
        </xdr:nvSpPr>
        <xdr:spPr>
          <a:xfrm>
            <a:off x="2171700" y="2545080"/>
            <a:ext cx="612000" cy="14849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ctr">
            <a:noAutofit/>
          </a:bodyPr>
          <a:lstStyle/>
          <a:p>
            <a:pPr algn="ctr"/>
            <a:fld id="{A3833546-5981-4B28-9395-42E4AA8EE137}" type="TxLink">
              <a:rPr lang="en-US" sz="900" b="0" i="0" u="none" strike="noStrike">
                <a:solidFill>
                  <a:schemeClr val="tx1">
                    <a:lumMod val="50000"/>
                    <a:lumOff val="50000"/>
                  </a:schemeClr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16.02.2026</a:t>
            </a:fld>
            <a:endParaRPr lang="fr-CH" sz="110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Projektauftrag!B41">
        <xdr:nvSpPr>
          <xdr:cNvPr id="46" name="TextBox 45">
            <a:hlinkClick xmlns:r="http://schemas.openxmlformats.org/officeDocument/2006/relationships" r:id="rId5" tooltip="Date"/>
            <a:extLst>
              <a:ext uri="{FF2B5EF4-FFF2-40B4-BE49-F238E27FC236}">
                <a16:creationId xmlns:a16="http://schemas.microsoft.com/office/drawing/2014/main" id="{00000000-0008-0000-0200-00002E000000}"/>
              </a:ext>
            </a:extLst>
          </xdr:cNvPr>
          <xdr:cNvSpPr txBox="1"/>
        </xdr:nvSpPr>
        <xdr:spPr>
          <a:xfrm>
            <a:off x="4017645" y="2545080"/>
            <a:ext cx="612000" cy="14849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ctr">
            <a:noAutofit/>
          </a:bodyPr>
          <a:lstStyle/>
          <a:p>
            <a:pPr algn="ctr"/>
            <a:fld id="{735F47CD-00FA-43F9-950F-69AD65F5B738}" type="TxLink">
              <a:rPr lang="en-US" sz="900" b="0" i="0" u="none" strike="noStrike">
                <a:solidFill>
                  <a:schemeClr val="tx1">
                    <a:lumMod val="50000"/>
                    <a:lumOff val="50000"/>
                  </a:schemeClr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 </a:t>
            </a:fld>
            <a:endParaRPr lang="fr-CH" sz="1100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Projektauftrag!B42">
        <xdr:nvSpPr>
          <xdr:cNvPr id="47" name="TextBox 46">
            <a:hlinkClick xmlns:r="http://schemas.openxmlformats.org/officeDocument/2006/relationships" r:id="rId6" tooltip="Date"/>
            <a:extLst>
              <a:ext uri="{FF2B5EF4-FFF2-40B4-BE49-F238E27FC236}">
                <a16:creationId xmlns:a16="http://schemas.microsoft.com/office/drawing/2014/main" id="{00000000-0008-0000-0200-00002F000000}"/>
              </a:ext>
            </a:extLst>
          </xdr:cNvPr>
          <xdr:cNvSpPr txBox="1"/>
        </xdr:nvSpPr>
        <xdr:spPr>
          <a:xfrm>
            <a:off x="5838825" y="2524125"/>
            <a:ext cx="612000" cy="16944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ctr">
            <a:noAutofit/>
          </a:bodyPr>
          <a:lstStyle/>
          <a:p>
            <a:pPr marL="0" indent="0" algn="ctr"/>
            <a:fld id="{5E417911-4318-412A-8B4A-4C52CFB20C41}" type="TxLink">
              <a:rPr lang="en-US" sz="900" b="0" i="0" u="none" strike="noStrike">
                <a:solidFill>
                  <a:schemeClr val="tx1">
                    <a:lumMod val="50000"/>
                    <a:lumOff val="50000"/>
                  </a:schemeClr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indent="0" algn="ctr"/>
              <a:t> </a:t>
            </a:fld>
            <a:endParaRPr lang="fr-CH" sz="9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Projektauftrag!B43">
        <xdr:nvSpPr>
          <xdr:cNvPr id="48" name="TextBox 47">
            <a:hlinkClick xmlns:r="http://schemas.openxmlformats.org/officeDocument/2006/relationships" r:id="rId7" tooltip="Date"/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SpPr txBox="1"/>
        </xdr:nvSpPr>
        <xdr:spPr>
          <a:xfrm>
            <a:off x="7692390" y="2545080"/>
            <a:ext cx="612000" cy="14849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ctr">
            <a:noAutofit/>
          </a:bodyPr>
          <a:lstStyle/>
          <a:p>
            <a:pPr marL="0" indent="0" algn="ctr"/>
            <a:fld id="{3252356B-96F4-4482-8925-223C1F49EEBD}" type="TxLink">
              <a:rPr lang="en-US" sz="900" b="0" i="0" u="none" strike="noStrike">
                <a:solidFill>
                  <a:schemeClr val="tx1">
                    <a:lumMod val="50000"/>
                    <a:lumOff val="50000"/>
                  </a:schemeClr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indent="0" algn="ctr"/>
              <a:t> </a:t>
            </a:fld>
            <a:endParaRPr lang="fr-CH" sz="9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Projektauftrag!J4">
        <xdr:nvSpPr>
          <xdr:cNvPr id="49" name="TextBox 48">
            <a:hlinkClick xmlns:r="http://schemas.openxmlformats.org/officeDocument/2006/relationships" r:id="rId8" tooltip="Date"/>
            <a:extLst>
              <a:ext uri="{FF2B5EF4-FFF2-40B4-BE49-F238E27FC236}">
                <a16:creationId xmlns:a16="http://schemas.microsoft.com/office/drawing/2014/main" id="{00000000-0008-0000-0200-000031000000}"/>
              </a:ext>
            </a:extLst>
          </xdr:cNvPr>
          <xdr:cNvSpPr txBox="1"/>
        </xdr:nvSpPr>
        <xdr:spPr>
          <a:xfrm>
            <a:off x="9516110" y="2545080"/>
            <a:ext cx="545325" cy="14849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ctr">
            <a:noAutofit/>
          </a:bodyPr>
          <a:lstStyle/>
          <a:p>
            <a:pPr algn="ctr"/>
            <a:fld id="{066F73C4-232A-4CAC-B277-EF31FBDFDBD2}" type="TxLink">
              <a:rPr lang="en-US" sz="900" b="0" i="0" u="none" strike="noStrike">
                <a:solidFill>
                  <a:schemeClr val="tx2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16.02.2028</a:t>
            </a:fld>
            <a:endParaRPr lang="fr-CH" sz="11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absolute">
    <xdr:from>
      <xdr:col>2</xdr:col>
      <xdr:colOff>215265</xdr:colOff>
      <xdr:row>10</xdr:row>
      <xdr:rowOff>1905</xdr:rowOff>
    </xdr:from>
    <xdr:to>
      <xdr:col>4</xdr:col>
      <xdr:colOff>351015</xdr:colOff>
      <xdr:row>10</xdr:row>
      <xdr:rowOff>140872</xdr:rowOff>
    </xdr:to>
    <xdr:sp macro="" textlink="Projektauftrag!G4">
      <xdr:nvSpPr>
        <xdr:cNvPr id="50" name="TextBox 49">
          <a:hlinkClick xmlns:r="http://schemas.openxmlformats.org/officeDocument/2006/relationships" r:id="rId9" tooltip="Date"/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 txBox="1"/>
      </xdr:nvSpPr>
      <xdr:spPr>
        <a:xfrm>
          <a:off x="348615" y="2592705"/>
          <a:ext cx="612000" cy="1389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fld id="{E03CF0F0-7C3F-46F2-A535-B84FE1CEB794}" type="TxLink">
            <a:rPr lang="en-US" sz="900" b="0" i="0" u="none" strike="noStrike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27.01.2026</a:t>
          </a:fld>
          <a:endParaRPr lang="fr-CH" sz="1100">
            <a:solidFill>
              <a:schemeClr val="tx2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4</xdr:col>
      <xdr:colOff>678180</xdr:colOff>
      <xdr:row>2</xdr:row>
      <xdr:rowOff>15240</xdr:rowOff>
    </xdr:from>
    <xdr:to>
      <xdr:col>4</xdr:col>
      <xdr:colOff>1813560</xdr:colOff>
      <xdr:row>2</xdr:row>
      <xdr:rowOff>182880</xdr:rowOff>
    </xdr:to>
    <xdr:sp macro="" textlink="">
      <xdr:nvSpPr>
        <xdr:cNvPr id="5" name="Rectangle 4">
          <a:hlinkClick xmlns:r="http://schemas.openxmlformats.org/officeDocument/2006/relationships" r:id="rId10" tooltip="Chef projet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303020" y="571500"/>
          <a:ext cx="1135380" cy="16764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6</xdr:col>
      <xdr:colOff>855345</xdr:colOff>
      <xdr:row>2</xdr:row>
      <xdr:rowOff>7620</xdr:rowOff>
    </xdr:from>
    <xdr:to>
      <xdr:col>7</xdr:col>
      <xdr:colOff>681990</xdr:colOff>
      <xdr:row>2</xdr:row>
      <xdr:rowOff>182880</xdr:rowOff>
    </xdr:to>
    <xdr:sp macro="" textlink="">
      <xdr:nvSpPr>
        <xdr:cNvPr id="51" name="Rectangle 50">
          <a:hlinkClick xmlns:r="http://schemas.openxmlformats.org/officeDocument/2006/relationships" r:id="rId11" tooltip="Costs"/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/>
      </xdr:nvSpPr>
      <xdr:spPr>
        <a:xfrm>
          <a:off x="3731895" y="569595"/>
          <a:ext cx="693420" cy="17526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10</xdr:col>
      <xdr:colOff>931545</xdr:colOff>
      <xdr:row>2</xdr:row>
      <xdr:rowOff>9525</xdr:rowOff>
    </xdr:from>
    <xdr:to>
      <xdr:col>11</xdr:col>
      <xdr:colOff>687705</xdr:colOff>
      <xdr:row>2</xdr:row>
      <xdr:rowOff>184785</xdr:rowOff>
    </xdr:to>
    <xdr:sp macro="" textlink="">
      <xdr:nvSpPr>
        <xdr:cNvPr id="52" name="Rectangle 51">
          <a:hlinkClick xmlns:r="http://schemas.openxmlformats.org/officeDocument/2006/relationships" r:id="rId12" tooltip="Costs"/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/>
      </xdr:nvSpPr>
      <xdr:spPr>
        <a:xfrm>
          <a:off x="5865495" y="571500"/>
          <a:ext cx="708660" cy="17526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12</xdr:col>
      <xdr:colOff>38100</xdr:colOff>
      <xdr:row>2</xdr:row>
      <xdr:rowOff>0</xdr:rowOff>
    </xdr:from>
    <xdr:to>
      <xdr:col>12</xdr:col>
      <xdr:colOff>1143000</xdr:colOff>
      <xdr:row>2</xdr:row>
      <xdr:rowOff>182880</xdr:rowOff>
    </xdr:to>
    <xdr:sp macro="" textlink="">
      <xdr:nvSpPr>
        <xdr:cNvPr id="53" name="Rectangle 52">
          <a:hlinkClick xmlns:r="http://schemas.openxmlformats.org/officeDocument/2006/relationships" r:id="rId13" tooltip="Budget h"/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/>
      </xdr:nvSpPr>
      <xdr:spPr>
        <a:xfrm>
          <a:off x="6964680" y="556260"/>
          <a:ext cx="1104900" cy="18288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2</xdr:col>
      <xdr:colOff>260984</xdr:colOff>
      <xdr:row>8</xdr:row>
      <xdr:rowOff>85725</xdr:rowOff>
    </xdr:from>
    <xdr:ext cx="1353503" cy="248851"/>
    <xdr:sp macro="" textlink="$U$3">
      <xdr:nvSpPr>
        <xdr:cNvPr id="6" name="TextBox 5">
          <a:hlinkClick xmlns:r="http://schemas.openxmlformats.org/officeDocument/2006/relationships" r:id="rId14" tooltip="Planning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394334" y="2295525"/>
          <a:ext cx="1353503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square" lIns="36000" rtlCol="0" anchor="t">
          <a:noAutofit/>
        </a:bodyPr>
        <a:lstStyle/>
        <a:p>
          <a:pPr algn="l"/>
          <a:fld id="{11E26CCA-5D04-42E8-883A-8EEF7CE6C8D5}" type="TxLink">
            <a:rPr lang="en-US" sz="1000" b="0" i="0" u="none" strike="noStrike">
              <a:solidFill>
                <a:schemeClr val="bg1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0 h / 4 h</a:t>
          </a:fld>
          <a:endParaRPr lang="fr-CH" sz="1000">
            <a:solidFill>
              <a:schemeClr val="bg1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 editAs="absolute">
    <xdr:from>
      <xdr:col>2</xdr:col>
      <xdr:colOff>15240</xdr:colOff>
      <xdr:row>0</xdr:row>
      <xdr:rowOff>91440</xdr:rowOff>
    </xdr:from>
    <xdr:to>
      <xdr:col>7</xdr:col>
      <xdr:colOff>53340</xdr:colOff>
      <xdr:row>0</xdr:row>
      <xdr:rowOff>472440</xdr:rowOff>
    </xdr:to>
    <xdr:sp macro="" textlink="">
      <xdr:nvSpPr>
        <xdr:cNvPr id="54" name="TextBox 53">
          <a:hlinkClick xmlns:r="http://schemas.openxmlformats.org/officeDocument/2006/relationships" r:id="rId15" tooltip="Charter"/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 txBox="1"/>
      </xdr:nvSpPr>
      <xdr:spPr>
        <a:xfrm>
          <a:off x="152400" y="91440"/>
          <a:ext cx="375666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endParaRPr lang="en-US" sz="900" b="0" i="0" u="none" strike="noStrike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absolute">
    <xdr:from>
      <xdr:col>2</xdr:col>
      <xdr:colOff>7620</xdr:colOff>
      <xdr:row>2</xdr:row>
      <xdr:rowOff>38100</xdr:rowOff>
    </xdr:from>
    <xdr:to>
      <xdr:col>2</xdr:col>
      <xdr:colOff>160020</xdr:colOff>
      <xdr:row>2</xdr:row>
      <xdr:rowOff>190500</xdr:rowOff>
    </xdr:to>
    <xdr:sp macro="" textlink="">
      <xdr:nvSpPr>
        <xdr:cNvPr id="55" name="TextBox 54">
          <a:hlinkClick xmlns:r="http://schemas.openxmlformats.org/officeDocument/2006/relationships" r:id="rId16" tooltip="Status"/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 txBox="1"/>
      </xdr:nvSpPr>
      <xdr:spPr>
        <a:xfrm>
          <a:off x="144780" y="594360"/>
          <a:ext cx="152400" cy="15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endParaRPr lang="en-US" sz="900" b="0" i="0" u="none" strike="noStrike">
            <a:solidFill>
              <a:schemeClr val="tx1">
                <a:lumMod val="50000"/>
                <a:lumOff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492440</xdr:colOff>
          <xdr:row>0</xdr:row>
          <xdr:rowOff>9525</xdr:rowOff>
        </xdr:from>
        <xdr:to>
          <xdr:col>20</xdr:col>
          <xdr:colOff>22860</xdr:colOff>
          <xdr:row>1</xdr:row>
          <xdr:rowOff>10454</xdr:rowOff>
        </xdr:to>
        <xdr:pic>
          <xdr:nvPicPr>
            <xdr:cNvPr id="60" name="Grafik 59">
              <a:hlinkClick xmlns:r="http://schemas.openxmlformats.org/officeDocument/2006/relationships" r:id="rId17" tooltip="Logo"/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00302"/>
                </a:ext>
              </a:extLst>
            </xdr:cNvPicPr>
          </xdr:nvPicPr>
          <xdr:blipFill>
            <a:blip xmlns:r="http://schemas.openxmlformats.org/officeDocument/2006/relationships" r:embed="rId18"/>
            <a:srcRect/>
            <a:stretch>
              <a:fillRect/>
            </a:stretch>
          </xdr:blipFill>
          <xdr:spPr bwMode="auto">
            <a:xfrm>
              <a:off x="8645840" y="9525"/>
              <a:ext cx="2212660" cy="534329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2</xdr:col>
      <xdr:colOff>184150</xdr:colOff>
      <xdr:row>12</xdr:row>
      <xdr:rowOff>31750</xdr:rowOff>
    </xdr:from>
    <xdr:to>
      <xdr:col>5</xdr:col>
      <xdr:colOff>250825</xdr:colOff>
      <xdr:row>12</xdr:row>
      <xdr:rowOff>146050</xdr:rowOff>
    </xdr:to>
    <xdr:sp macro="" textlink="">
      <xdr:nvSpPr>
        <xdr:cNvPr id="11" name="Rechteck 10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317500" y="2898775"/>
          <a:ext cx="2486025" cy="11430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4</xdr:col>
      <xdr:colOff>473656</xdr:colOff>
      <xdr:row>5</xdr:row>
      <xdr:rowOff>143572</xdr:rowOff>
    </xdr:from>
    <xdr:to>
      <xdr:col>4</xdr:col>
      <xdr:colOff>1121656</xdr:colOff>
      <xdr:row>7</xdr:row>
      <xdr:rowOff>38797</xdr:rowOff>
    </xdr:to>
    <xdr:sp macro="" textlink="' '!A43">
      <xdr:nvSpPr>
        <xdr:cNvPr id="28" name="Freihandform 27">
          <a:hlinkClick xmlns:r="http://schemas.openxmlformats.org/officeDocument/2006/relationships" r:id="rId20" tooltip="Charter"/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1083256" y="1734247"/>
          <a:ext cx="648000" cy="276225"/>
        </a:xfrm>
        <a:custGeom>
          <a:avLst/>
          <a:gdLst>
            <a:gd name="connsiteX0" fmla="*/ 0 w 820310"/>
            <a:gd name="connsiteY0" fmla="*/ 27623 h 276225"/>
            <a:gd name="connsiteX1" fmla="*/ 27623 w 820310"/>
            <a:gd name="connsiteY1" fmla="*/ 0 h 276225"/>
            <a:gd name="connsiteX2" fmla="*/ 792688 w 820310"/>
            <a:gd name="connsiteY2" fmla="*/ 0 h 276225"/>
            <a:gd name="connsiteX3" fmla="*/ 820311 w 820310"/>
            <a:gd name="connsiteY3" fmla="*/ 27623 h 276225"/>
            <a:gd name="connsiteX4" fmla="*/ 820310 w 820310"/>
            <a:gd name="connsiteY4" fmla="*/ 248603 h 276225"/>
            <a:gd name="connsiteX5" fmla="*/ 792687 w 820310"/>
            <a:gd name="connsiteY5" fmla="*/ 276226 h 276225"/>
            <a:gd name="connsiteX6" fmla="*/ 27623 w 820310"/>
            <a:gd name="connsiteY6" fmla="*/ 276225 h 276225"/>
            <a:gd name="connsiteX7" fmla="*/ 0 w 820310"/>
            <a:gd name="connsiteY7" fmla="*/ 248602 h 276225"/>
            <a:gd name="connsiteX8" fmla="*/ 0 w 820310"/>
            <a:gd name="connsiteY8" fmla="*/ 27623 h 276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20310" h="276225">
              <a:moveTo>
                <a:pt x="0" y="27623"/>
              </a:moveTo>
              <a:cubicBezTo>
                <a:pt x="0" y="12367"/>
                <a:pt x="12367" y="0"/>
                <a:pt x="27623" y="0"/>
              </a:cubicBezTo>
              <a:lnTo>
                <a:pt x="792688" y="0"/>
              </a:lnTo>
              <a:cubicBezTo>
                <a:pt x="807944" y="0"/>
                <a:pt x="820311" y="12367"/>
                <a:pt x="820311" y="27623"/>
              </a:cubicBezTo>
              <a:cubicBezTo>
                <a:pt x="820311" y="101283"/>
                <a:pt x="820310" y="174943"/>
                <a:pt x="820310" y="248603"/>
              </a:cubicBezTo>
              <a:cubicBezTo>
                <a:pt x="820310" y="263859"/>
                <a:pt x="807943" y="276226"/>
                <a:pt x="792687" y="276226"/>
              </a:cubicBezTo>
              <a:lnTo>
                <a:pt x="27623" y="276225"/>
              </a:lnTo>
              <a:cubicBezTo>
                <a:pt x="12367" y="276225"/>
                <a:pt x="0" y="263858"/>
                <a:pt x="0" y="248602"/>
              </a:cubicBezTo>
              <a:lnTo>
                <a:pt x="0" y="27623"/>
              </a:lnTo>
              <a:close/>
            </a:path>
          </a:pathLst>
        </a:custGeom>
        <a:solidFill>
          <a:srgbClr val="40949A"/>
        </a:solidFill>
        <a:ln w="12700" cap="flat">
          <a:noFill/>
          <a:miter lim="400000"/>
        </a:ln>
        <a:effectLst/>
      </xdr:spPr>
      <xdr:txBody>
        <a:bodyPr wrap="square" lIns="0" tIns="0" rIns="0" bIns="0" numCol="1" anchor="ctr">
          <a:noAutofit/>
        </a:bodyPr>
        <a:lstStyle/>
        <a:p>
          <a:pPr marL="0" marR="0" lvl="0" indent="0" algn="ctr" defTabSz="685846" rtl="0" eaLnBrk="1" fontAlgn="auto" latinLnBrk="0" hangingPunct="1">
            <a:lnSpc>
              <a:spcPct val="90000"/>
            </a:lnSpc>
            <a:spcBef>
              <a:spcPts val="0"/>
            </a:spcBef>
            <a:spcAft>
              <a:spcPts val="0"/>
            </a:spcAft>
            <a:buClrTx/>
            <a:buSzTx/>
            <a:buFont typeface="Times" pitchFamily="18" charset="0"/>
            <a:buNone/>
            <a:tabLst/>
            <a:defRPr/>
          </a:pPr>
          <a:fld id="{8DC4BC57-3161-43F8-9890-BADBBF60CF89}" type="TxLink">
            <a:rPr lang="en-US" sz="1050" b="0" kern="1200">
              <a:solidFill>
                <a:prstClr val="white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685846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 typeface="Times" pitchFamily="18" charset="0"/>
              <a:buNone/>
              <a:tabLst/>
              <a:defRPr/>
            </a:pPr>
            <a:t>Mandat</a:t>
          </a:fld>
          <a:endParaRPr lang="fr-CH" sz="1050" b="0" kern="1200">
            <a:solidFill>
              <a:prstClr val="white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4</xdr:col>
      <xdr:colOff>1202990</xdr:colOff>
      <xdr:row>5</xdr:row>
      <xdr:rowOff>143572</xdr:rowOff>
    </xdr:from>
    <xdr:to>
      <xdr:col>4</xdr:col>
      <xdr:colOff>1850990</xdr:colOff>
      <xdr:row>7</xdr:row>
      <xdr:rowOff>38797</xdr:rowOff>
    </xdr:to>
    <xdr:sp macro="" textlink="' '!A16">
      <xdr:nvSpPr>
        <xdr:cNvPr id="30" name="Freihandform 29">
          <a:hlinkClick xmlns:r="http://schemas.openxmlformats.org/officeDocument/2006/relationships" r:id="rId11" tooltip="Budget"/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1812590" y="1734247"/>
          <a:ext cx="648000" cy="276225"/>
        </a:xfrm>
        <a:custGeom>
          <a:avLst/>
          <a:gdLst>
            <a:gd name="connsiteX0" fmla="*/ 0 w 820310"/>
            <a:gd name="connsiteY0" fmla="*/ 27623 h 276225"/>
            <a:gd name="connsiteX1" fmla="*/ 27623 w 820310"/>
            <a:gd name="connsiteY1" fmla="*/ 0 h 276225"/>
            <a:gd name="connsiteX2" fmla="*/ 792688 w 820310"/>
            <a:gd name="connsiteY2" fmla="*/ 0 h 276225"/>
            <a:gd name="connsiteX3" fmla="*/ 820311 w 820310"/>
            <a:gd name="connsiteY3" fmla="*/ 27623 h 276225"/>
            <a:gd name="connsiteX4" fmla="*/ 820310 w 820310"/>
            <a:gd name="connsiteY4" fmla="*/ 248603 h 276225"/>
            <a:gd name="connsiteX5" fmla="*/ 792687 w 820310"/>
            <a:gd name="connsiteY5" fmla="*/ 276226 h 276225"/>
            <a:gd name="connsiteX6" fmla="*/ 27623 w 820310"/>
            <a:gd name="connsiteY6" fmla="*/ 276225 h 276225"/>
            <a:gd name="connsiteX7" fmla="*/ 0 w 820310"/>
            <a:gd name="connsiteY7" fmla="*/ 248602 h 276225"/>
            <a:gd name="connsiteX8" fmla="*/ 0 w 820310"/>
            <a:gd name="connsiteY8" fmla="*/ 27623 h 276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20310" h="276225">
              <a:moveTo>
                <a:pt x="0" y="27623"/>
              </a:moveTo>
              <a:cubicBezTo>
                <a:pt x="0" y="12367"/>
                <a:pt x="12367" y="0"/>
                <a:pt x="27623" y="0"/>
              </a:cubicBezTo>
              <a:lnTo>
                <a:pt x="792688" y="0"/>
              </a:lnTo>
              <a:cubicBezTo>
                <a:pt x="807944" y="0"/>
                <a:pt x="820311" y="12367"/>
                <a:pt x="820311" y="27623"/>
              </a:cubicBezTo>
              <a:cubicBezTo>
                <a:pt x="820311" y="101283"/>
                <a:pt x="820310" y="174943"/>
                <a:pt x="820310" y="248603"/>
              </a:cubicBezTo>
              <a:cubicBezTo>
                <a:pt x="820310" y="263859"/>
                <a:pt x="807943" y="276226"/>
                <a:pt x="792687" y="276226"/>
              </a:cubicBezTo>
              <a:lnTo>
                <a:pt x="27623" y="276225"/>
              </a:lnTo>
              <a:cubicBezTo>
                <a:pt x="12367" y="276225"/>
                <a:pt x="0" y="263858"/>
                <a:pt x="0" y="248602"/>
              </a:cubicBezTo>
              <a:lnTo>
                <a:pt x="0" y="27623"/>
              </a:lnTo>
              <a:close/>
            </a:path>
          </a:pathLst>
        </a:custGeom>
        <a:solidFill>
          <a:srgbClr val="40949A"/>
        </a:solidFill>
        <a:ln w="12700" cap="flat">
          <a:noFill/>
          <a:miter lim="400000"/>
        </a:ln>
        <a:effectLst/>
      </xdr:spPr>
      <xdr:txBody>
        <a:bodyPr wrap="square" lIns="0" tIns="0" rIns="0" bIns="0" numCol="1" anchor="ctr">
          <a:noAutofit/>
        </a:bodyPr>
        <a:lstStyle/>
        <a:p>
          <a:pPr marL="0" marR="0" lvl="0" indent="0" algn="ctr" defTabSz="685846" rtl="0" eaLnBrk="1" fontAlgn="auto" latinLnBrk="0" hangingPunct="1">
            <a:lnSpc>
              <a:spcPct val="90000"/>
            </a:lnSpc>
            <a:spcBef>
              <a:spcPts val="0"/>
            </a:spcBef>
            <a:spcAft>
              <a:spcPts val="0"/>
            </a:spcAft>
            <a:buClrTx/>
            <a:buSzTx/>
            <a:buFont typeface="Times" pitchFamily="18" charset="0"/>
            <a:buNone/>
            <a:tabLst/>
            <a:defRPr/>
          </a:pPr>
          <a:fld id="{CAE765CC-6A4D-4D4C-96A4-383C775F3B5C}" type="TxLink">
            <a:rPr lang="en-US" sz="1050" b="0" kern="1200">
              <a:solidFill>
                <a:prstClr val="white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685846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 typeface="Times" pitchFamily="18" charset="0"/>
              <a:buNone/>
              <a:tabLst/>
              <a:defRPr/>
            </a:pPr>
            <a:t>Budget</a:t>
          </a:fld>
          <a:endParaRPr lang="fr-CH" sz="1050" b="0" kern="1200">
            <a:solidFill>
              <a:prstClr val="white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11</xdr:col>
      <xdr:colOff>694266</xdr:colOff>
      <xdr:row>5</xdr:row>
      <xdr:rowOff>143572</xdr:rowOff>
    </xdr:from>
    <xdr:to>
      <xdr:col>12</xdr:col>
      <xdr:colOff>1122069</xdr:colOff>
      <xdr:row>7</xdr:row>
      <xdr:rowOff>38797</xdr:rowOff>
    </xdr:to>
    <xdr:sp macro="" textlink="' '!A39">
      <xdr:nvSpPr>
        <xdr:cNvPr id="115" name="Freihandform 114">
          <a:hlinkClick xmlns:r="http://schemas.openxmlformats.org/officeDocument/2006/relationships" r:id="rId21" tooltip="Status"/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/>
      </xdr:nvSpPr>
      <xdr:spPr>
        <a:xfrm>
          <a:off x="6561666" y="1734247"/>
          <a:ext cx="1304103" cy="276225"/>
        </a:xfrm>
        <a:custGeom>
          <a:avLst/>
          <a:gdLst>
            <a:gd name="connsiteX0" fmla="*/ 0 w 820310"/>
            <a:gd name="connsiteY0" fmla="*/ 27623 h 276225"/>
            <a:gd name="connsiteX1" fmla="*/ 27623 w 820310"/>
            <a:gd name="connsiteY1" fmla="*/ 0 h 276225"/>
            <a:gd name="connsiteX2" fmla="*/ 792688 w 820310"/>
            <a:gd name="connsiteY2" fmla="*/ 0 h 276225"/>
            <a:gd name="connsiteX3" fmla="*/ 820311 w 820310"/>
            <a:gd name="connsiteY3" fmla="*/ 27623 h 276225"/>
            <a:gd name="connsiteX4" fmla="*/ 820310 w 820310"/>
            <a:gd name="connsiteY4" fmla="*/ 248603 h 276225"/>
            <a:gd name="connsiteX5" fmla="*/ 792687 w 820310"/>
            <a:gd name="connsiteY5" fmla="*/ 276226 h 276225"/>
            <a:gd name="connsiteX6" fmla="*/ 27623 w 820310"/>
            <a:gd name="connsiteY6" fmla="*/ 276225 h 276225"/>
            <a:gd name="connsiteX7" fmla="*/ 0 w 820310"/>
            <a:gd name="connsiteY7" fmla="*/ 248602 h 276225"/>
            <a:gd name="connsiteX8" fmla="*/ 0 w 820310"/>
            <a:gd name="connsiteY8" fmla="*/ 27623 h 276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20310" h="276225">
              <a:moveTo>
                <a:pt x="0" y="27623"/>
              </a:moveTo>
              <a:cubicBezTo>
                <a:pt x="0" y="12367"/>
                <a:pt x="12367" y="0"/>
                <a:pt x="27623" y="0"/>
              </a:cubicBezTo>
              <a:lnTo>
                <a:pt x="792688" y="0"/>
              </a:lnTo>
              <a:cubicBezTo>
                <a:pt x="807944" y="0"/>
                <a:pt x="820311" y="12367"/>
                <a:pt x="820311" y="27623"/>
              </a:cubicBezTo>
              <a:cubicBezTo>
                <a:pt x="820311" y="101283"/>
                <a:pt x="820310" y="174943"/>
                <a:pt x="820310" y="248603"/>
              </a:cubicBezTo>
              <a:cubicBezTo>
                <a:pt x="820310" y="263859"/>
                <a:pt x="807943" y="276226"/>
                <a:pt x="792687" y="276226"/>
              </a:cubicBezTo>
              <a:lnTo>
                <a:pt x="27623" y="276225"/>
              </a:lnTo>
              <a:cubicBezTo>
                <a:pt x="12367" y="276225"/>
                <a:pt x="0" y="263858"/>
                <a:pt x="0" y="248602"/>
              </a:cubicBezTo>
              <a:lnTo>
                <a:pt x="0" y="27623"/>
              </a:lnTo>
              <a:close/>
            </a:path>
          </a:pathLst>
        </a:custGeom>
        <a:solidFill>
          <a:srgbClr val="7575A3"/>
        </a:solidFill>
        <a:ln w="25400" cap="flat" cmpd="sng" algn="ctr">
          <a:noFill/>
          <a:prstDash val="solid"/>
        </a:ln>
        <a:effectLst/>
      </xdr:spPr>
      <xdr:txBody>
        <a:bodyPr rot="0" spcFirstLastPara="0" vert="horz" wrap="square" lIns="72000" tIns="36000" rIns="72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ts val="600"/>
            </a:spcAft>
            <a:buClrTx/>
            <a:buSzTx/>
            <a:buFont typeface="Times" pitchFamily="18" charset="0"/>
            <a:buNone/>
            <a:tabLst/>
            <a:defRPr/>
          </a:pPr>
          <a:fld id="{59366CC1-B3EC-4496-9E42-B0EABD567EBA}" type="TxLink">
            <a:rPr lang="en-US" sz="1200" b="0" kern="50">
              <a:solidFill>
                <a:sysClr val="window" lastClr="FFFFFF"/>
              </a:solidFill>
              <a:latin typeface="Calibri Light" panose="020F0302020204030204" pitchFamily="34" charset="0"/>
              <a:ea typeface="SimSun" panose="02010600030101010101" pitchFamily="2" charset="-122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600"/>
              </a:spcAft>
              <a:buClrTx/>
              <a:buSzTx/>
              <a:buFont typeface="Times" pitchFamily="18" charset="0"/>
              <a:buNone/>
              <a:tabLst/>
              <a:defRPr/>
            </a:pPr>
            <a:t>Suivi du projet</a:t>
          </a:fld>
          <a:endParaRPr lang="fr-CH" sz="1200" b="0" kern="50">
            <a:solidFill>
              <a:sysClr val="window" lastClr="FFFFFF"/>
            </a:solidFill>
            <a:latin typeface="Calibri Light" panose="020F0302020204030204" pitchFamily="34" charset="0"/>
            <a:ea typeface="SimSun" panose="02010600030101010101" pitchFamily="2" charset="-122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13</xdr:col>
      <xdr:colOff>524560</xdr:colOff>
      <xdr:row>5</xdr:row>
      <xdr:rowOff>143572</xdr:rowOff>
    </xdr:from>
    <xdr:to>
      <xdr:col>14</xdr:col>
      <xdr:colOff>197506</xdr:colOff>
      <xdr:row>7</xdr:row>
      <xdr:rowOff>38797</xdr:rowOff>
    </xdr:to>
    <xdr:sp macro="" textlink="' '!A40">
      <xdr:nvSpPr>
        <xdr:cNvPr id="117" name="Freihandform 116">
          <a:hlinkClick xmlns:r="http://schemas.openxmlformats.org/officeDocument/2006/relationships" r:id="rId22" tooltip="Final report"/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/>
      </xdr:nvSpPr>
      <xdr:spPr>
        <a:xfrm>
          <a:off x="8458885" y="1734247"/>
          <a:ext cx="1149321" cy="276225"/>
        </a:xfrm>
        <a:custGeom>
          <a:avLst/>
          <a:gdLst>
            <a:gd name="connsiteX0" fmla="*/ 0 w 820310"/>
            <a:gd name="connsiteY0" fmla="*/ 27623 h 276225"/>
            <a:gd name="connsiteX1" fmla="*/ 27623 w 820310"/>
            <a:gd name="connsiteY1" fmla="*/ 0 h 276225"/>
            <a:gd name="connsiteX2" fmla="*/ 792688 w 820310"/>
            <a:gd name="connsiteY2" fmla="*/ 0 h 276225"/>
            <a:gd name="connsiteX3" fmla="*/ 820311 w 820310"/>
            <a:gd name="connsiteY3" fmla="*/ 27623 h 276225"/>
            <a:gd name="connsiteX4" fmla="*/ 820310 w 820310"/>
            <a:gd name="connsiteY4" fmla="*/ 248603 h 276225"/>
            <a:gd name="connsiteX5" fmla="*/ 792687 w 820310"/>
            <a:gd name="connsiteY5" fmla="*/ 276226 h 276225"/>
            <a:gd name="connsiteX6" fmla="*/ 27623 w 820310"/>
            <a:gd name="connsiteY6" fmla="*/ 276225 h 276225"/>
            <a:gd name="connsiteX7" fmla="*/ 0 w 820310"/>
            <a:gd name="connsiteY7" fmla="*/ 248602 h 276225"/>
            <a:gd name="connsiteX8" fmla="*/ 0 w 820310"/>
            <a:gd name="connsiteY8" fmla="*/ 27623 h 276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20310" h="276225">
              <a:moveTo>
                <a:pt x="0" y="27623"/>
              </a:moveTo>
              <a:cubicBezTo>
                <a:pt x="0" y="12367"/>
                <a:pt x="12367" y="0"/>
                <a:pt x="27623" y="0"/>
              </a:cubicBezTo>
              <a:lnTo>
                <a:pt x="792688" y="0"/>
              </a:lnTo>
              <a:cubicBezTo>
                <a:pt x="807944" y="0"/>
                <a:pt x="820311" y="12367"/>
                <a:pt x="820311" y="27623"/>
              </a:cubicBezTo>
              <a:cubicBezTo>
                <a:pt x="820311" y="101283"/>
                <a:pt x="820310" y="174943"/>
                <a:pt x="820310" y="248603"/>
              </a:cubicBezTo>
              <a:cubicBezTo>
                <a:pt x="820310" y="263859"/>
                <a:pt x="807943" y="276226"/>
                <a:pt x="792687" y="276226"/>
              </a:cubicBezTo>
              <a:lnTo>
                <a:pt x="27623" y="276225"/>
              </a:lnTo>
              <a:cubicBezTo>
                <a:pt x="12367" y="276225"/>
                <a:pt x="0" y="263858"/>
                <a:pt x="0" y="248602"/>
              </a:cubicBezTo>
              <a:lnTo>
                <a:pt x="0" y="27623"/>
              </a:lnTo>
              <a:close/>
            </a:path>
          </a:pathLst>
        </a:custGeom>
        <a:solidFill>
          <a:srgbClr val="6F7FA1"/>
        </a:solidFill>
        <a:ln w="25400" cap="flat" cmpd="sng" algn="ctr">
          <a:noFill/>
          <a:prstDash val="solid"/>
        </a:ln>
        <a:effectLst/>
      </xdr:spPr>
      <xdr:txBody>
        <a:bodyPr rot="0" spcFirstLastPara="0" vert="horz" wrap="square" lIns="108000" tIns="36000" rIns="72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ts val="600"/>
            </a:spcAft>
            <a:buClrTx/>
            <a:buSzTx/>
            <a:buFont typeface="Times" pitchFamily="18" charset="0"/>
            <a:buNone/>
            <a:tabLst/>
            <a:defRPr/>
          </a:pPr>
          <a:fld id="{97AB8D2B-1DDC-4FE4-81BA-719F386C6CAD}" type="TxLink">
            <a:rPr lang="en-US" sz="1200" b="0" kern="50">
              <a:solidFill>
                <a:sysClr val="window" lastClr="FFFFFF"/>
              </a:solidFill>
              <a:latin typeface="Calibri Light" panose="020F0302020204030204" pitchFamily="34" charset="0"/>
              <a:ea typeface="SimSun" panose="02010600030101010101" pitchFamily="2" charset="-122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600"/>
              </a:spcAft>
              <a:buClrTx/>
              <a:buSzTx/>
              <a:buFont typeface="Times" pitchFamily="18" charset="0"/>
              <a:buNone/>
              <a:tabLst/>
              <a:defRPr/>
            </a:pPr>
            <a:t>Rapport final</a:t>
          </a:fld>
          <a:endParaRPr lang="fr-CH" sz="1200" b="0" kern="50">
            <a:solidFill>
              <a:sysClr val="window" lastClr="FFFFFF"/>
            </a:solidFill>
            <a:latin typeface="Calibri Light" panose="020F0302020204030204" pitchFamily="34" charset="0"/>
            <a:ea typeface="SimSun" panose="02010600030101010101" pitchFamily="2" charset="-122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15</xdr:col>
      <xdr:colOff>79265</xdr:colOff>
      <xdr:row>4</xdr:row>
      <xdr:rowOff>149595</xdr:rowOff>
    </xdr:from>
    <xdr:to>
      <xdr:col>16</xdr:col>
      <xdr:colOff>48534</xdr:colOff>
      <xdr:row>6</xdr:row>
      <xdr:rowOff>173710</xdr:rowOff>
    </xdr:to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10413890" y="1559295"/>
          <a:ext cx="178819" cy="39559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b">
          <a:noAutofit/>
        </a:bodyPr>
        <a:lstStyle/>
        <a:p>
          <a:pPr algn="ctr"/>
          <a:endParaRPr lang="de-CH" sz="3200">
            <a:solidFill>
              <a:schemeClr val="accent1">
                <a:lumMod val="7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190500</xdr:colOff>
          <xdr:row>2</xdr:row>
          <xdr:rowOff>45720</xdr:rowOff>
        </xdr:from>
        <xdr:to>
          <xdr:col>15</xdr:col>
          <xdr:colOff>190500</xdr:colOff>
          <xdr:row>2</xdr:row>
          <xdr:rowOff>198120</xdr:rowOff>
        </xdr:to>
        <xdr:sp macro="" textlink="">
          <xdr:nvSpPr>
            <xdr:cNvPr id="200013" name="Drop Down 333" descr="Choose language" hidden="1">
              <a:extLst>
                <a:ext uri="{63B3BB69-23CF-44E3-9099-C40C66FF867C}">
                  <a14:compatExt spid="_x0000_s200013"/>
                </a:ext>
                <a:ext uri="{FF2B5EF4-FFF2-40B4-BE49-F238E27FC236}">
                  <a16:creationId xmlns:a16="http://schemas.microsoft.com/office/drawing/2014/main" id="{00000000-0008-0000-0100-00004D0D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6</xdr:col>
      <xdr:colOff>114300</xdr:colOff>
      <xdr:row>5</xdr:row>
      <xdr:rowOff>143572</xdr:rowOff>
    </xdr:from>
    <xdr:to>
      <xdr:col>7</xdr:col>
      <xdr:colOff>534950</xdr:colOff>
      <xdr:row>7</xdr:row>
      <xdr:rowOff>38797</xdr:rowOff>
    </xdr:to>
    <xdr:sp macro="" textlink="' '!A13">
      <xdr:nvSpPr>
        <xdr:cNvPr id="63" name="Freihandform 113">
          <a:hlinkClick xmlns:r="http://schemas.openxmlformats.org/officeDocument/2006/relationships" r:id="rId14" tooltip="Planning"/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/>
      </xdr:nvSpPr>
      <xdr:spPr>
        <a:xfrm>
          <a:off x="3070860" y="1720912"/>
          <a:ext cx="1312190" cy="260985"/>
        </a:xfrm>
        <a:custGeom>
          <a:avLst/>
          <a:gdLst>
            <a:gd name="connsiteX0" fmla="*/ 0 w 820310"/>
            <a:gd name="connsiteY0" fmla="*/ 27623 h 276225"/>
            <a:gd name="connsiteX1" fmla="*/ 27623 w 820310"/>
            <a:gd name="connsiteY1" fmla="*/ 0 h 276225"/>
            <a:gd name="connsiteX2" fmla="*/ 792688 w 820310"/>
            <a:gd name="connsiteY2" fmla="*/ 0 h 276225"/>
            <a:gd name="connsiteX3" fmla="*/ 820311 w 820310"/>
            <a:gd name="connsiteY3" fmla="*/ 27623 h 276225"/>
            <a:gd name="connsiteX4" fmla="*/ 820310 w 820310"/>
            <a:gd name="connsiteY4" fmla="*/ 248603 h 276225"/>
            <a:gd name="connsiteX5" fmla="*/ 792687 w 820310"/>
            <a:gd name="connsiteY5" fmla="*/ 276226 h 276225"/>
            <a:gd name="connsiteX6" fmla="*/ 27623 w 820310"/>
            <a:gd name="connsiteY6" fmla="*/ 276225 h 276225"/>
            <a:gd name="connsiteX7" fmla="*/ 0 w 820310"/>
            <a:gd name="connsiteY7" fmla="*/ 248602 h 276225"/>
            <a:gd name="connsiteX8" fmla="*/ 0 w 820310"/>
            <a:gd name="connsiteY8" fmla="*/ 27623 h 276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20310" h="276225">
              <a:moveTo>
                <a:pt x="0" y="27623"/>
              </a:moveTo>
              <a:cubicBezTo>
                <a:pt x="0" y="12367"/>
                <a:pt x="12367" y="0"/>
                <a:pt x="27623" y="0"/>
              </a:cubicBezTo>
              <a:lnTo>
                <a:pt x="792688" y="0"/>
              </a:lnTo>
              <a:cubicBezTo>
                <a:pt x="807944" y="0"/>
                <a:pt x="820311" y="12367"/>
                <a:pt x="820311" y="27623"/>
              </a:cubicBezTo>
              <a:cubicBezTo>
                <a:pt x="820311" y="101283"/>
                <a:pt x="820310" y="174943"/>
                <a:pt x="820310" y="248603"/>
              </a:cubicBezTo>
              <a:cubicBezTo>
                <a:pt x="820310" y="263859"/>
                <a:pt x="807943" y="276226"/>
                <a:pt x="792687" y="276226"/>
              </a:cubicBezTo>
              <a:lnTo>
                <a:pt x="27623" y="276225"/>
              </a:lnTo>
              <a:cubicBezTo>
                <a:pt x="12367" y="276225"/>
                <a:pt x="0" y="263858"/>
                <a:pt x="0" y="248602"/>
              </a:cubicBezTo>
              <a:lnTo>
                <a:pt x="0" y="27623"/>
              </a:lnTo>
              <a:close/>
            </a:path>
          </a:pathLst>
        </a:custGeom>
        <a:solidFill>
          <a:srgbClr val="3984A3"/>
        </a:solidFill>
        <a:ln w="25400" cap="flat" cmpd="sng" algn="ctr">
          <a:noFill/>
          <a:prstDash val="solid"/>
        </a:ln>
        <a:effectLst/>
      </xdr:spPr>
      <xdr:txBody>
        <a:bodyPr rot="0" spcFirstLastPara="0" vert="horz" wrap="square" lIns="72000" tIns="36000" rIns="72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ts val="600"/>
            </a:spcAft>
            <a:buClrTx/>
            <a:buSzTx/>
            <a:buFont typeface="Times" pitchFamily="18" charset="0"/>
            <a:buNone/>
            <a:tabLst/>
            <a:defRPr/>
          </a:pPr>
          <a:fld id="{4D848C2E-FD49-42F2-AD0F-56AE12F79EE7}" type="TxLink">
            <a:rPr lang="en-US" sz="1050" b="0" kern="50">
              <a:solidFill>
                <a:sysClr val="window" lastClr="FFFFFF"/>
              </a:solidFill>
              <a:latin typeface="Calibri Light" panose="020F0302020204030204" pitchFamily="34" charset="0"/>
              <a:ea typeface="SimSun" panose="02010600030101010101" pitchFamily="2" charset="-122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600"/>
              </a:spcAft>
              <a:buClrTx/>
              <a:buSzTx/>
              <a:buFont typeface="Times" pitchFamily="18" charset="0"/>
              <a:buNone/>
              <a:tabLst/>
              <a:defRPr/>
            </a:pPr>
            <a:t>Gantt</a:t>
          </a:fld>
          <a:endParaRPr lang="fr-CH" sz="1050" b="0" kern="50">
            <a:solidFill>
              <a:sysClr val="window" lastClr="FFFFFF"/>
            </a:solidFill>
            <a:latin typeface="Calibri Light" panose="020F0302020204030204" pitchFamily="34" charset="0"/>
            <a:ea typeface="SimSun" panose="02010600030101010101" pitchFamily="2" charset="-122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9</xdr:col>
      <xdr:colOff>139014</xdr:colOff>
      <xdr:row>5</xdr:row>
      <xdr:rowOff>143572</xdr:rowOff>
    </xdr:from>
    <xdr:to>
      <xdr:col>11</xdr:col>
      <xdr:colOff>66489</xdr:colOff>
      <xdr:row>7</xdr:row>
      <xdr:rowOff>38797</xdr:rowOff>
    </xdr:to>
    <xdr:sp macro="" textlink="' '!A373">
      <xdr:nvSpPr>
        <xdr:cNvPr id="64" name="Freihandform 114">
          <a:hlinkClick xmlns:r="http://schemas.openxmlformats.org/officeDocument/2006/relationships" r:id="rId23" tooltip="Analyse"/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/>
      </xdr:nvSpPr>
      <xdr:spPr>
        <a:xfrm>
          <a:off x="4853889" y="1734247"/>
          <a:ext cx="1080000" cy="276225"/>
        </a:xfrm>
        <a:custGeom>
          <a:avLst/>
          <a:gdLst>
            <a:gd name="connsiteX0" fmla="*/ 0 w 820310"/>
            <a:gd name="connsiteY0" fmla="*/ 27623 h 276225"/>
            <a:gd name="connsiteX1" fmla="*/ 27623 w 820310"/>
            <a:gd name="connsiteY1" fmla="*/ 0 h 276225"/>
            <a:gd name="connsiteX2" fmla="*/ 792688 w 820310"/>
            <a:gd name="connsiteY2" fmla="*/ 0 h 276225"/>
            <a:gd name="connsiteX3" fmla="*/ 820311 w 820310"/>
            <a:gd name="connsiteY3" fmla="*/ 27623 h 276225"/>
            <a:gd name="connsiteX4" fmla="*/ 820310 w 820310"/>
            <a:gd name="connsiteY4" fmla="*/ 248603 h 276225"/>
            <a:gd name="connsiteX5" fmla="*/ 792687 w 820310"/>
            <a:gd name="connsiteY5" fmla="*/ 276226 h 276225"/>
            <a:gd name="connsiteX6" fmla="*/ 27623 w 820310"/>
            <a:gd name="connsiteY6" fmla="*/ 276225 h 276225"/>
            <a:gd name="connsiteX7" fmla="*/ 0 w 820310"/>
            <a:gd name="connsiteY7" fmla="*/ 248602 h 276225"/>
            <a:gd name="connsiteX8" fmla="*/ 0 w 820310"/>
            <a:gd name="connsiteY8" fmla="*/ 27623 h 276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20310" h="276225">
              <a:moveTo>
                <a:pt x="0" y="27623"/>
              </a:moveTo>
              <a:cubicBezTo>
                <a:pt x="0" y="12367"/>
                <a:pt x="12367" y="0"/>
                <a:pt x="27623" y="0"/>
              </a:cubicBezTo>
              <a:lnTo>
                <a:pt x="792688" y="0"/>
              </a:lnTo>
              <a:cubicBezTo>
                <a:pt x="807944" y="0"/>
                <a:pt x="820311" y="12367"/>
                <a:pt x="820311" y="27623"/>
              </a:cubicBezTo>
              <a:cubicBezTo>
                <a:pt x="820311" y="101283"/>
                <a:pt x="820310" y="174943"/>
                <a:pt x="820310" y="248603"/>
              </a:cubicBezTo>
              <a:cubicBezTo>
                <a:pt x="820310" y="263859"/>
                <a:pt x="807943" y="276226"/>
                <a:pt x="792687" y="276226"/>
              </a:cubicBezTo>
              <a:lnTo>
                <a:pt x="27623" y="276225"/>
              </a:lnTo>
              <a:cubicBezTo>
                <a:pt x="12367" y="276225"/>
                <a:pt x="0" y="263858"/>
                <a:pt x="0" y="248602"/>
              </a:cubicBezTo>
              <a:lnTo>
                <a:pt x="0" y="27623"/>
              </a:lnTo>
              <a:close/>
            </a:path>
          </a:pathLst>
        </a:custGeom>
        <a:solidFill>
          <a:srgbClr val="5475AA"/>
        </a:solidFill>
        <a:ln w="25400" cap="flat" cmpd="sng" algn="ctr">
          <a:noFill/>
          <a:prstDash val="solid"/>
        </a:ln>
        <a:effectLst/>
      </xdr:spPr>
      <xdr:txBody>
        <a:bodyPr rot="0" spcFirstLastPara="0" vert="horz" wrap="square" lIns="108000" tIns="36000" rIns="72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ts val="600"/>
            </a:spcAft>
            <a:buClrTx/>
            <a:buSzTx/>
            <a:buFont typeface="Times" pitchFamily="18" charset="0"/>
            <a:buNone/>
            <a:tabLst/>
            <a:defRPr/>
          </a:pPr>
          <a:fld id="{E48674F8-84AA-4670-8F45-015CD9BB3EFB}" type="TxLink">
            <a:rPr lang="en-US" sz="1200" b="0" kern="50">
              <a:solidFill>
                <a:sysClr val="window" lastClr="FFFFFF"/>
              </a:solidFill>
              <a:latin typeface="Calibri Light" panose="020F0302020204030204" pitchFamily="34" charset="0"/>
              <a:ea typeface="SimSun" panose="02010600030101010101" pitchFamily="2" charset="-122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600"/>
              </a:spcAft>
              <a:buClrTx/>
              <a:buSzTx/>
              <a:buFont typeface="Times" pitchFamily="18" charset="0"/>
              <a:buNone/>
              <a:tabLst/>
              <a:defRPr/>
            </a:pPr>
            <a:t>Faisabilité</a:t>
          </a:fld>
          <a:endParaRPr lang="fr-CH" sz="1200" b="0" kern="50">
            <a:solidFill>
              <a:sysClr val="window" lastClr="FFFFFF"/>
            </a:solidFill>
            <a:latin typeface="Calibri Light" panose="020F0302020204030204" pitchFamily="34" charset="0"/>
            <a:ea typeface="SimSun" panose="02010600030101010101" pitchFamily="2" charset="-122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13</xdr:col>
      <xdr:colOff>9525</xdr:colOff>
      <xdr:row>2</xdr:row>
      <xdr:rowOff>28575</xdr:rowOff>
    </xdr:from>
    <xdr:to>
      <xdr:col>14</xdr:col>
      <xdr:colOff>78338</xdr:colOff>
      <xdr:row>2</xdr:row>
      <xdr:rowOff>244575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8162925" y="584835"/>
          <a:ext cx="1585193" cy="216000"/>
          <a:chOff x="8151202" y="585421"/>
          <a:chExt cx="1586951" cy="216000"/>
        </a:xfrm>
      </xdr:grpSpPr>
      <xdr:sp macro="" textlink="">
        <xdr:nvSpPr>
          <xdr:cNvPr id="10" name="Ellipse 9">
            <a:hlinkClick xmlns:r="http://schemas.openxmlformats.org/officeDocument/2006/relationships" r:id="rId24" tooltip="Message"/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8151202" y="623521"/>
            <a:ext cx="133498" cy="133350"/>
          </a:xfrm>
          <a:prstGeom prst="ellipse">
            <a:avLst/>
          </a:prstGeom>
          <a:noFill/>
          <a:ln>
            <a:noFill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fr-CH" sz="1100" baseline="0"/>
          </a:p>
        </xdr:txBody>
      </xdr:sp>
      <xdr:grpSp>
        <xdr:nvGrpSpPr>
          <xdr:cNvPr id="24" name="Gruppieren 23">
            <a:extLst>
              <a:ext uri="{FF2B5EF4-FFF2-40B4-BE49-F238E27FC236}">
                <a16:creationId xmlns:a16="http://schemas.microsoft.com/office/drawing/2014/main" id="{00000000-0008-0000-0200-000018000000}"/>
              </a:ext>
            </a:extLst>
          </xdr:cNvPr>
          <xdr:cNvGrpSpPr/>
        </xdr:nvGrpSpPr>
        <xdr:grpSpPr>
          <a:xfrm>
            <a:off x="9566082" y="590800"/>
            <a:ext cx="172071" cy="180000"/>
            <a:chOff x="9576238" y="590214"/>
            <a:chExt cx="171880" cy="180000"/>
          </a:xfrm>
        </xdr:grpSpPr>
        <xdr:sp macro="" textlink="">
          <xdr:nvSpPr>
            <xdr:cNvPr id="83" name="Rechteck 82">
              <a:hlinkClick xmlns:r="http://schemas.openxmlformats.org/officeDocument/2006/relationships" r:id="rId25"/>
              <a:extLst>
                <a:ext uri="{FF2B5EF4-FFF2-40B4-BE49-F238E27FC236}">
                  <a16:creationId xmlns:a16="http://schemas.microsoft.com/office/drawing/2014/main" id="{00000000-0008-0000-0200-000053000000}"/>
                </a:ext>
              </a:extLst>
            </xdr:cNvPr>
            <xdr:cNvSpPr>
              <a:spLocks noChangeAspect="1"/>
            </xdr:cNvSpPr>
          </xdr:nvSpPr>
          <xdr:spPr>
            <a:xfrm>
              <a:off x="9576238" y="590214"/>
              <a:ext cx="171880" cy="180000"/>
            </a:xfrm>
            <a:prstGeom prst="rect">
              <a:avLst/>
            </a:prstGeom>
            <a:solidFill>
              <a:srgbClr val="666699"/>
            </a:solidFill>
            <a:ln>
              <a:solidFill>
                <a:srgbClr val="46A1A8"/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endParaRPr>
            </a:p>
          </xdr:txBody>
        </xdr:sp>
        <xdr:sp macro="" textlink="">
          <xdr:nvSpPr>
            <xdr:cNvPr id="84" name="Textfeld 83">
              <a:extLst>
                <a:ext uri="{FF2B5EF4-FFF2-40B4-BE49-F238E27FC236}">
                  <a16:creationId xmlns:a16="http://schemas.microsoft.com/office/drawing/2014/main" id="{00000000-0008-0000-0200-000054000000}"/>
                </a:ext>
              </a:extLst>
            </xdr:cNvPr>
            <xdr:cNvSpPr txBox="1"/>
          </xdr:nvSpPr>
          <xdr:spPr>
            <a:xfrm>
              <a:off x="9625428" y="604027"/>
              <a:ext cx="81621" cy="160878"/>
            </a:xfrm>
            <a:prstGeom prst="rect">
              <a:avLst/>
            </a:prstGeom>
            <a:solidFill>
              <a:srgbClr val="666699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200" b="0">
                  <a:solidFill>
                    <a:schemeClr val="bg1"/>
                  </a:solidFill>
                  <a:latin typeface="Calibri Light" panose="020F0302020204030204" pitchFamily="34" charset="0"/>
                  <a:cs typeface="Calibri Light" panose="020F0302020204030204" pitchFamily="34" charset="0"/>
                </a:rPr>
                <a:t>?</a:t>
              </a:r>
            </a:p>
          </xdr:txBody>
        </xdr:sp>
      </xdr:grpSp>
      <xdr:grpSp>
        <xdr:nvGrpSpPr>
          <xdr:cNvPr id="17" name="Gruppieren 16">
            <a:extLst>
              <a:ext uri="{FF2B5EF4-FFF2-40B4-BE49-F238E27FC236}">
                <a16:creationId xmlns:a16="http://schemas.microsoft.com/office/drawing/2014/main" id="{00000000-0008-0000-0200-000011000000}"/>
              </a:ext>
            </a:extLst>
          </xdr:cNvPr>
          <xdr:cNvGrpSpPr/>
        </xdr:nvGrpSpPr>
        <xdr:grpSpPr>
          <a:xfrm>
            <a:off x="8550914" y="590800"/>
            <a:ext cx="147114" cy="180940"/>
            <a:chOff x="8175521" y="605454"/>
            <a:chExt cx="167867" cy="180940"/>
          </a:xfrm>
        </xdr:grpSpPr>
        <xdr:sp macro="" textlink="">
          <xdr:nvSpPr>
            <xdr:cNvPr id="59" name="Rechteck 78">
              <a:hlinkClick xmlns:r="http://schemas.openxmlformats.org/officeDocument/2006/relationships" r:id="rId24" tooltip="Notes"/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>
              <a:spLocks/>
            </xdr:cNvSpPr>
          </xdr:nvSpPr>
          <xdr:spPr>
            <a:xfrm>
              <a:off x="8175521" y="605454"/>
              <a:ext cx="167867" cy="180940"/>
            </a:xfrm>
            <a:prstGeom prst="rect">
              <a:avLst/>
            </a:prstGeom>
            <a:solidFill>
              <a:srgbClr val="666699"/>
            </a:solidFill>
            <a:ln>
              <a:solidFill>
                <a:srgbClr val="46A1A8"/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0" tIns="36000" rIns="0" bIns="0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endParaRPr>
            </a:p>
          </xdr:txBody>
        </xdr:sp>
        <xdr:pic>
          <xdr:nvPicPr>
            <xdr:cNvPr id="12" name="Grafik 11">
              <a:hlinkClick xmlns:r="http://schemas.openxmlformats.org/officeDocument/2006/relationships" r:id="rId26" tooltip="Notes"/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205649" y="633094"/>
              <a:ext cx="128480" cy="138485"/>
            </a:xfrm>
            <a:prstGeom prst="rect">
              <a:avLst/>
            </a:prstGeom>
            <a:solidFill>
              <a:srgbClr val="666699"/>
            </a:solidFill>
          </xdr:spPr>
        </xdr:pic>
      </xdr:grpSp>
      <xdr:sp macro="[0]!Register_ein" textlink="">
        <xdr:nvSpPr>
          <xdr:cNvPr id="79" name="Rechteck 78">
            <a:extLst>
              <a:ext uri="{FF2B5EF4-FFF2-40B4-BE49-F238E27FC236}">
                <a16:creationId xmlns:a16="http://schemas.microsoft.com/office/drawing/2014/main" id="{00000000-0008-0000-0200-00004F000000}"/>
              </a:ext>
            </a:extLst>
          </xdr:cNvPr>
          <xdr:cNvSpPr>
            <a:spLocks/>
          </xdr:cNvSpPr>
        </xdr:nvSpPr>
        <xdr:spPr>
          <a:xfrm>
            <a:off x="8795101" y="591034"/>
            <a:ext cx="147114" cy="180940"/>
          </a:xfrm>
          <a:prstGeom prst="rect">
            <a:avLst/>
          </a:prstGeom>
          <a:solidFill>
            <a:srgbClr val="666699"/>
          </a:solidFill>
          <a:ln>
            <a:solidFill>
              <a:srgbClr val="46A1A8"/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6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+</a:t>
            </a:r>
          </a:p>
        </xdr:txBody>
      </xdr:sp>
      <xdr:sp macro="[0]!Register_aus" textlink="">
        <xdr:nvSpPr>
          <xdr:cNvPr id="85" name="Rechteck 84">
            <a:extLst>
              <a:ext uri="{FF2B5EF4-FFF2-40B4-BE49-F238E27FC236}">
                <a16:creationId xmlns:a16="http://schemas.microsoft.com/office/drawing/2014/main" id="{00000000-0008-0000-0200-000055000000}"/>
              </a:ext>
            </a:extLst>
          </xdr:cNvPr>
          <xdr:cNvSpPr>
            <a:spLocks noChangeAspect="1"/>
          </xdr:cNvSpPr>
        </xdr:nvSpPr>
        <xdr:spPr>
          <a:xfrm>
            <a:off x="8963255" y="591034"/>
            <a:ext cx="146452" cy="180940"/>
          </a:xfrm>
          <a:prstGeom prst="rect">
            <a:avLst/>
          </a:prstGeom>
          <a:solidFill>
            <a:srgbClr val="666699"/>
          </a:solidFill>
          <a:ln>
            <a:solidFill>
              <a:srgbClr val="46A1A8"/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8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-</a:t>
            </a:r>
          </a:p>
        </xdr:txBody>
      </xdr:sp>
      <xdr:sp macro="[0]!Protokoll_aus" textlink="">
        <xdr:nvSpPr>
          <xdr:cNvPr id="65" name="Rechteck 64">
            <a:hlinkClick xmlns:r="http://schemas.openxmlformats.org/officeDocument/2006/relationships" r:id="rId28" tooltip="Download new file"/>
            <a:extLst>
              <a:ext uri="{FF2B5EF4-FFF2-40B4-BE49-F238E27FC236}">
                <a16:creationId xmlns:a16="http://schemas.microsoft.com/office/drawing/2014/main" id="{00000000-0008-0000-0200-000041000000}"/>
              </a:ext>
            </a:extLst>
          </xdr:cNvPr>
          <xdr:cNvSpPr>
            <a:spLocks/>
          </xdr:cNvSpPr>
        </xdr:nvSpPr>
        <xdr:spPr>
          <a:xfrm>
            <a:off x="9192253" y="591034"/>
            <a:ext cx="150055" cy="184558"/>
          </a:xfrm>
          <a:prstGeom prst="rect">
            <a:avLst/>
          </a:prstGeom>
          <a:solidFill>
            <a:srgbClr val="666699"/>
          </a:solidFill>
          <a:ln>
            <a:solidFill>
              <a:srgbClr val="46A1A8"/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3600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  <a:sym typeface="Wingdings 2" panose="05020102010507070707" pitchFamily="18" charset="2"/>
              </a:rPr>
              <a:t></a:t>
            </a:r>
            <a:endParaRPr kumimoji="0" lang="de-CH" sz="12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pic>
        <xdr:nvPicPr>
          <xdr:cNvPr id="66" name="Grafik 65">
            <a:hlinkClick xmlns:r="http://schemas.openxmlformats.org/officeDocument/2006/relationships" r:id="rId29" tooltip="Options"/>
            <a:extLst>
              <a:ext uri="{FF2B5EF4-FFF2-40B4-BE49-F238E27FC236}">
                <a16:creationId xmlns:a16="http://schemas.microsoft.com/office/drawing/2014/main" id="{00000000-0008-0000-0200-00004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22842" y="585421"/>
            <a:ext cx="188439" cy="21600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78105</xdr:colOff>
      <xdr:row>14</xdr:row>
      <xdr:rowOff>120015</xdr:rowOff>
    </xdr:from>
    <xdr:to>
      <xdr:col>2</xdr:col>
      <xdr:colOff>152400</xdr:colOff>
      <xdr:row>16</xdr:row>
      <xdr:rowOff>160020</xdr:rowOff>
    </xdr:to>
    <xdr:grpSp>
      <xdr:nvGrpSpPr>
        <xdr:cNvPr id="20" name="Gruppieren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GrpSpPr/>
      </xdr:nvGrpSpPr>
      <xdr:grpSpPr>
        <a:xfrm>
          <a:off x="85725" y="3253740"/>
          <a:ext cx="203835" cy="0"/>
          <a:chOff x="133350" y="3295650"/>
          <a:chExt cx="179190" cy="452522"/>
        </a:xfrm>
      </xdr:grpSpPr>
      <xdr:grpSp>
        <xdr:nvGrpSpPr>
          <xdr:cNvPr id="77" name="Gruppieren 76">
            <a:extLst>
              <a:ext uri="{FF2B5EF4-FFF2-40B4-BE49-F238E27FC236}">
                <a16:creationId xmlns:a16="http://schemas.microsoft.com/office/drawing/2014/main" id="{00000000-0008-0000-0200-00004D000000}"/>
              </a:ext>
            </a:extLst>
          </xdr:cNvPr>
          <xdr:cNvGrpSpPr>
            <a:grpSpLocks noChangeAspect="1"/>
          </xdr:cNvGrpSpPr>
        </xdr:nvGrpSpPr>
        <xdr:grpSpPr>
          <a:xfrm>
            <a:off x="133350" y="3556964"/>
            <a:ext cx="179190" cy="191208"/>
            <a:chOff x="133117" y="2061350"/>
            <a:chExt cx="179190" cy="180000"/>
          </a:xfrm>
        </xdr:grpSpPr>
        <xdr:sp macro="[0]!ans_Ende_Entscheidungen" textlink="">
          <xdr:nvSpPr>
            <xdr:cNvPr id="82" name="Rechteck 81">
              <a:extLst>
                <a:ext uri="{FF2B5EF4-FFF2-40B4-BE49-F238E27FC236}">
                  <a16:creationId xmlns:a16="http://schemas.microsoft.com/office/drawing/2014/main" id="{00000000-0008-0000-0200-000052000000}"/>
                </a:ext>
              </a:extLst>
            </xdr:cNvPr>
            <xdr:cNvSpPr>
              <a:spLocks noChangeAspect="1"/>
            </xdr:cNvSpPr>
          </xdr:nvSpPr>
          <xdr:spPr>
            <a:xfrm>
              <a:off x="133117" y="2061350"/>
              <a:ext cx="179190" cy="180000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[0]!ans_Ende_Entscheidungen" textlink="">
          <xdr:nvSpPr>
            <xdr:cNvPr id="86" name="Pfeil nach rechts 127">
              <a:extLst>
                <a:ext uri="{FF2B5EF4-FFF2-40B4-BE49-F238E27FC236}">
                  <a16:creationId xmlns:a16="http://schemas.microsoft.com/office/drawing/2014/main" id="{00000000-0008-0000-0200-000056000000}"/>
                </a:ext>
              </a:extLst>
            </xdr:cNvPr>
            <xdr:cNvSpPr/>
          </xdr:nvSpPr>
          <xdr:spPr>
            <a:xfrm rot="16200000" flipH="1">
              <a:off x="184484" y="2101575"/>
              <a:ext cx="89595" cy="99550"/>
            </a:xfrm>
            <a:prstGeom prst="rightArrow">
              <a:avLst/>
            </a:prstGeom>
            <a:solidFill>
              <a:schemeClr val="bg1"/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l"/>
              <a:endParaRPr lang="de-CH" sz="1100" baseline="0">
                <a:solidFill>
                  <a:schemeClr val="dk1"/>
                </a:solidFill>
                <a:latin typeface="+mn-lt"/>
                <a:ea typeface="+mn-ea"/>
                <a:cs typeface="+mn-cs"/>
              </a:endParaRPr>
            </a:p>
          </xdr:txBody>
        </xdr:sp>
      </xdr:grpSp>
      <xdr:grpSp>
        <xdr:nvGrpSpPr>
          <xdr:cNvPr id="78" name="Gruppieren 77">
            <a:hlinkClick xmlns:r="http://schemas.openxmlformats.org/officeDocument/2006/relationships" r:id="rId31" tooltip="up"/>
            <a:extLst>
              <a:ext uri="{FF2B5EF4-FFF2-40B4-BE49-F238E27FC236}">
                <a16:creationId xmlns:a16="http://schemas.microsoft.com/office/drawing/2014/main" id="{00000000-0008-0000-0200-00004E000000}"/>
              </a:ext>
            </a:extLst>
          </xdr:cNvPr>
          <xdr:cNvGrpSpPr>
            <a:grpSpLocks/>
          </xdr:cNvGrpSpPr>
        </xdr:nvGrpSpPr>
        <xdr:grpSpPr>
          <a:xfrm>
            <a:off x="133350" y="3314700"/>
            <a:ext cx="179190" cy="192132"/>
            <a:chOff x="139686" y="1856591"/>
            <a:chExt cx="179190" cy="177044"/>
          </a:xfrm>
        </xdr:grpSpPr>
        <xdr:sp macro="" textlink="">
          <xdr:nvSpPr>
            <xdr:cNvPr id="80" name="Rechteck 79">
              <a:extLst>
                <a:ext uri="{FF2B5EF4-FFF2-40B4-BE49-F238E27FC236}">
                  <a16:creationId xmlns:a16="http://schemas.microsoft.com/office/drawing/2014/main" id="{00000000-0008-0000-0200-000050000000}"/>
                </a:ext>
              </a:extLst>
            </xdr:cNvPr>
            <xdr:cNvSpPr>
              <a:spLocks noChangeAspect="1"/>
            </xdr:cNvSpPr>
          </xdr:nvSpPr>
          <xdr:spPr>
            <a:xfrm>
              <a:off x="139686" y="1856591"/>
              <a:ext cx="179190" cy="177044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81" name="Pfeil nach rechts 130">
              <a:extLst>
                <a:ext uri="{FF2B5EF4-FFF2-40B4-BE49-F238E27FC236}">
                  <a16:creationId xmlns:a16="http://schemas.microsoft.com/office/drawing/2014/main" id="{00000000-0008-0000-0200-000051000000}"/>
                </a:ext>
              </a:extLst>
            </xdr:cNvPr>
            <xdr:cNvSpPr/>
          </xdr:nvSpPr>
          <xdr:spPr>
            <a:xfrm rot="5400000" flipH="1" flipV="1">
              <a:off x="189550" y="1895338"/>
              <a:ext cx="88124" cy="99550"/>
            </a:xfrm>
            <a:prstGeom prst="rightArrow">
              <a:avLst/>
            </a:prstGeom>
            <a:solidFill>
              <a:schemeClr val="bg1"/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l"/>
              <a:endParaRPr lang="de-CH" sz="1100" baseline="0">
                <a:solidFill>
                  <a:schemeClr val="dk1"/>
                </a:solidFill>
                <a:latin typeface="+mn-lt"/>
                <a:ea typeface="+mn-ea"/>
                <a:cs typeface="+mn-cs"/>
              </a:endParaRPr>
            </a:p>
          </xdr:txBody>
        </xdr:sp>
      </xdr:grpSp>
    </xdr:grpSp>
    <xdr:clientData fPrintsWithSheet="0"/>
  </xdr:twoCellAnchor>
  <xdr:twoCellAnchor>
    <xdr:from>
      <xdr:col>1</xdr:col>
      <xdr:colOff>113346</xdr:colOff>
      <xdr:row>11</xdr:row>
      <xdr:rowOff>10142</xdr:rowOff>
    </xdr:from>
    <xdr:to>
      <xdr:col>2</xdr:col>
      <xdr:colOff>99902</xdr:colOff>
      <xdr:row>12</xdr:row>
      <xdr:rowOff>178187</xdr:rowOff>
    </xdr:to>
    <xdr:grpSp>
      <xdr:nvGrpSpPr>
        <xdr:cNvPr id="15" name="Gruppieren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GrpSpPr/>
      </xdr:nvGrpSpPr>
      <xdr:grpSpPr>
        <a:xfrm>
          <a:off x="120966" y="2760962"/>
          <a:ext cx="116096" cy="221385"/>
          <a:chOff x="99058" y="1629393"/>
          <a:chExt cx="109191" cy="202573"/>
        </a:xfrm>
      </xdr:grpSpPr>
      <xdr:sp macro="[0]!Protokoll_aus" textlink="">
        <xdr:nvSpPr>
          <xdr:cNvPr id="89" name="Rechteck 88">
            <a:extLst>
              <a:ext uri="{FF2B5EF4-FFF2-40B4-BE49-F238E27FC236}">
                <a16:creationId xmlns:a16="http://schemas.microsoft.com/office/drawing/2014/main" id="{00000000-0008-0000-0200-000059000000}"/>
              </a:ext>
            </a:extLst>
          </xdr:cNvPr>
          <xdr:cNvSpPr>
            <a:spLocks/>
          </xdr:cNvSpPr>
        </xdr:nvSpPr>
        <xdr:spPr>
          <a:xfrm>
            <a:off x="99058" y="1813825"/>
            <a:ext cx="109191" cy="36000"/>
          </a:xfrm>
          <a:prstGeom prst="rect">
            <a:avLst/>
          </a:prstGeom>
          <a:solidFill>
            <a:sysClr val="window" lastClr="FFFFFF"/>
          </a:solidFill>
          <a:ln>
            <a:noFill/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2800" b="0" i="0" u="none" strike="noStrike" kern="0" cap="none" spc="0" normalizeH="0" baseline="0">
                <a:ln>
                  <a:noFill/>
                </a:ln>
                <a:solidFill>
                  <a:srgbClr val="5475AA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-</a:t>
            </a:r>
          </a:p>
        </xdr:txBody>
      </xdr:sp>
      <xdr:sp macro="[0]!Protokoll_ein" textlink="">
        <xdr:nvSpPr>
          <xdr:cNvPr id="87" name="Rechteck 86">
            <a:extLst>
              <a:ext uri="{FF2B5EF4-FFF2-40B4-BE49-F238E27FC236}">
                <a16:creationId xmlns:a16="http://schemas.microsoft.com/office/drawing/2014/main" id="{00000000-0008-0000-0200-000057000000}"/>
              </a:ext>
            </a:extLst>
          </xdr:cNvPr>
          <xdr:cNvSpPr>
            <a:spLocks/>
          </xdr:cNvSpPr>
        </xdr:nvSpPr>
        <xdr:spPr>
          <a:xfrm>
            <a:off x="99058" y="1629393"/>
            <a:ext cx="109191" cy="108000"/>
          </a:xfrm>
          <a:prstGeom prst="rect">
            <a:avLst/>
          </a:prstGeom>
          <a:solidFill>
            <a:sysClr val="window" lastClr="FFFFFF"/>
          </a:solidFill>
          <a:ln>
            <a:noFill/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2000" b="0" i="0" u="none" strike="noStrike" kern="0" cap="none" spc="0" normalizeH="0" baseline="0">
                <a:ln>
                  <a:noFill/>
                </a:ln>
                <a:solidFill>
                  <a:srgbClr val="5475AA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+</a:t>
            </a:r>
          </a:p>
        </xdr:txBody>
      </xdr:sp>
    </xdr:grpSp>
    <xdr:clientData/>
  </xdr:twoCellAnchor>
  <xdr:twoCellAnchor>
    <xdr:from>
      <xdr:col>14</xdr:col>
      <xdr:colOff>777240</xdr:colOff>
      <xdr:row>14</xdr:row>
      <xdr:rowOff>68580</xdr:rowOff>
    </xdr:from>
    <xdr:to>
      <xdr:col>15</xdr:col>
      <xdr:colOff>198554</xdr:colOff>
      <xdr:row>15</xdr:row>
      <xdr:rowOff>22859</xdr:rowOff>
    </xdr:to>
    <xdr:grpSp>
      <xdr:nvGrpSpPr>
        <xdr:cNvPr id="4" name="Gruppieren 3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/>
      </xdr:nvGrpSpPr>
      <xdr:grpSpPr>
        <a:xfrm>
          <a:off x="10447020" y="3253740"/>
          <a:ext cx="373814" cy="0"/>
          <a:chOff x="11831953" y="2994660"/>
          <a:chExt cx="2463168" cy="2510515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SpPr>
            <a:spLocks noChangeAspect="1"/>
          </xdr:cNvSpPr>
        </xdr:nvSpPr>
        <xdr:spPr>
          <a:xfrm>
            <a:off x="11831953" y="3046106"/>
            <a:ext cx="2448000" cy="2459069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6" name="Grafik 15" descr="人类logo模板图片素材 人类logo模板设计素材 人类logo模板摄影作品 人类logo模板源文件下载 人类logo模板图片素材下载 人类 ...">
            <a:extLst>
              <a:ext uri="{FF2B5EF4-FFF2-40B4-BE49-F238E27FC236}">
                <a16:creationId xmlns:a16="http://schemas.microsoft.com/office/drawing/2014/main" id="{00000000-0008-0000-0200-00001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79579" y="2994660"/>
            <a:ext cx="2415542" cy="241554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153355</xdr:rowOff>
    </xdr:from>
    <xdr:to>
      <xdr:col>0</xdr:col>
      <xdr:colOff>392580</xdr:colOff>
      <xdr:row>0</xdr:row>
      <xdr:rowOff>478820</xdr:rowOff>
    </xdr:to>
    <xdr:grpSp>
      <xdr:nvGrpSpPr>
        <xdr:cNvPr id="14" name="Gruppieren 13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/>
      </xdr:nvGrpSpPr>
      <xdr:grpSpPr>
        <a:xfrm>
          <a:off x="68580" y="153355"/>
          <a:ext cx="324000" cy="325465"/>
          <a:chOff x="12729063" y="1298331"/>
          <a:chExt cx="324000" cy="323267"/>
        </a:xfrm>
      </xdr:grpSpPr>
      <xdr:sp macro="" textlink="">
        <xdr:nvSpPr>
          <xdr:cNvPr id="15" name="Rechteck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6" name="Grafik 1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533400</xdr:colOff>
          <xdr:row>0</xdr:row>
          <xdr:rowOff>9525</xdr:rowOff>
        </xdr:from>
        <xdr:to>
          <xdr:col>31</xdr:col>
          <xdr:colOff>238760</xdr:colOff>
          <xdr:row>0</xdr:row>
          <xdr:rowOff>504825</xdr:rowOff>
        </xdr:to>
        <xdr:pic>
          <xdr:nvPicPr>
            <xdr:cNvPr id="57" name="Grafik 56">
              <a:extLst>
                <a:ext uri="{FF2B5EF4-FFF2-40B4-BE49-F238E27FC236}">
                  <a16:creationId xmlns:a16="http://schemas.microsoft.com/office/drawing/2014/main" id="{00000000-0008-0000-0300-00003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06811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7981950" y="9525"/>
              <a:ext cx="1990725" cy="4953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38</xdr:col>
      <xdr:colOff>1076338</xdr:colOff>
      <xdr:row>1</xdr:row>
      <xdr:rowOff>52389</xdr:rowOff>
    </xdr:from>
    <xdr:to>
      <xdr:col>38</xdr:col>
      <xdr:colOff>1747849</xdr:colOff>
      <xdr:row>1</xdr:row>
      <xdr:rowOff>232389</xdr:rowOff>
    </xdr:to>
    <xdr:grpSp>
      <xdr:nvGrpSpPr>
        <xdr:cNvPr id="8" name="Gruppieren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19120498" y="570549"/>
          <a:ext cx="671511" cy="180000"/>
          <a:chOff x="14092239" y="623889"/>
          <a:chExt cx="671511" cy="180000"/>
        </a:xfrm>
      </xdr:grpSpPr>
      <xdr:grpSp>
        <xdr:nvGrpSpPr>
          <xdr:cNvPr id="58" name="Gruppieren 47">
            <a:hlinkClick xmlns:r="http://schemas.openxmlformats.org/officeDocument/2006/relationships" r:id="rId4" tooltip="Help"/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GrpSpPr>
            <a:grpSpLocks/>
          </xdr:cNvGrpSpPr>
        </xdr:nvGrpSpPr>
        <xdr:grpSpPr>
          <a:xfrm>
            <a:off x="14592300" y="623889"/>
            <a:ext cx="171450" cy="180000"/>
            <a:chOff x="8105775" y="571500"/>
            <a:chExt cx="172800" cy="172800"/>
          </a:xfrm>
        </xdr:grpSpPr>
        <xdr:sp macro="" textlink="">
          <xdr:nvSpPr>
            <xdr:cNvPr id="59" name="Rechteck 48">
              <a:extLst>
                <a:ext uri="{FF2B5EF4-FFF2-40B4-BE49-F238E27FC236}">
                  <a16:creationId xmlns:a16="http://schemas.microsoft.com/office/drawing/2014/main" id="{00000000-0008-0000-0300-00003B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66" name="Textfeld 49">
              <a:extLst>
                <a:ext uri="{FF2B5EF4-FFF2-40B4-BE49-F238E27FC236}">
                  <a16:creationId xmlns:a16="http://schemas.microsoft.com/office/drawing/2014/main" id="{00000000-0008-0000-0300-000042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xdr:sp macro="[0]!Register_ein" textlink="">
        <xdr:nvSpPr>
          <xdr:cNvPr id="67" name="Rechteck 78">
            <a:extLst>
              <a:ext uri="{FF2B5EF4-FFF2-40B4-BE49-F238E27FC236}">
                <a16:creationId xmlns:a16="http://schemas.microsoft.com/office/drawing/2014/main" id="{00000000-0008-0000-0300-000043000000}"/>
              </a:ext>
            </a:extLst>
          </xdr:cNvPr>
          <xdr:cNvSpPr>
            <a:spLocks noChangeAspect="1"/>
          </xdr:cNvSpPr>
        </xdr:nvSpPr>
        <xdr:spPr>
          <a:xfrm>
            <a:off x="14092239" y="623889"/>
            <a:ext cx="189667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6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+</a:t>
            </a:r>
          </a:p>
        </xdr:txBody>
      </xdr:sp>
      <xdr:sp macro="[0]!Register_aus" textlink="">
        <xdr:nvSpPr>
          <xdr:cNvPr id="68" name="Rechteck 84">
            <a:extLst>
              <a:ext uri="{FF2B5EF4-FFF2-40B4-BE49-F238E27FC236}">
                <a16:creationId xmlns:a16="http://schemas.microsoft.com/office/drawing/2014/main" id="{00000000-0008-0000-0300-000044000000}"/>
              </a:ext>
            </a:extLst>
          </xdr:cNvPr>
          <xdr:cNvSpPr>
            <a:spLocks noChangeAspect="1"/>
          </xdr:cNvSpPr>
        </xdr:nvSpPr>
        <xdr:spPr>
          <a:xfrm>
            <a:off x="14312266" y="623889"/>
            <a:ext cx="17919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8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-</a:t>
            </a:r>
          </a:p>
        </xdr:txBody>
      </xdr:sp>
    </xdr:grpSp>
    <xdr:clientData fPrintsWithSheet="0"/>
  </xdr:twoCellAnchor>
  <xdr:twoCellAnchor editAs="absolute">
    <xdr:from>
      <xdr:col>2</xdr:col>
      <xdr:colOff>0</xdr:colOff>
      <xdr:row>1</xdr:row>
      <xdr:rowOff>352425</xdr:rowOff>
    </xdr:from>
    <xdr:to>
      <xdr:col>2</xdr:col>
      <xdr:colOff>1247775</xdr:colOff>
      <xdr:row>4</xdr:row>
      <xdr:rowOff>119062</xdr:rowOff>
    </xdr:to>
    <xdr:sp macro="" textlink="">
      <xdr:nvSpPr>
        <xdr:cNvPr id="54" name="TextBox 53">
          <a:hlinkClick xmlns:r="http://schemas.openxmlformats.org/officeDocument/2006/relationships" r:id="rId5" tooltip="Charter"/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/>
      </xdr:nvSpPr>
      <xdr:spPr>
        <a:xfrm>
          <a:off x="1724025" y="876300"/>
          <a:ext cx="1247775" cy="704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endParaRPr lang="en-US" sz="900" b="0" i="0" u="none" strike="noStrike">
            <a:solidFill>
              <a:schemeClr val="tx1">
                <a:lumMod val="50000"/>
                <a:lumOff val="50000"/>
              </a:schemeClr>
            </a:solidFill>
            <a:latin typeface="Calibri"/>
          </a:endParaRPr>
        </a:p>
      </xdr:txBody>
    </xdr:sp>
    <xdr:clientData/>
  </xdr:twoCellAnchor>
  <xdr:twoCellAnchor editAs="absolute">
    <xdr:from>
      <xdr:col>0</xdr:col>
      <xdr:colOff>309559</xdr:colOff>
      <xdr:row>5</xdr:row>
      <xdr:rowOff>228600</xdr:rowOff>
    </xdr:from>
    <xdr:to>
      <xdr:col>29</xdr:col>
      <xdr:colOff>340994</xdr:colOff>
      <xdr:row>8</xdr:row>
      <xdr:rowOff>138114</xdr:rowOff>
    </xdr:to>
    <xdr:graphicFrame macro="">
      <xdr:nvGraphicFramePr>
        <xdr:cNvPr id="69" name="Diagramm 9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oneCellAnchor>
    <xdr:from>
      <xdr:col>1</xdr:col>
      <xdr:colOff>290510</xdr:colOff>
      <xdr:row>6</xdr:row>
      <xdr:rowOff>57152</xdr:rowOff>
    </xdr:from>
    <xdr:ext cx="928689" cy="233205"/>
    <xdr:sp macro="" textlink="Projektmgmt!$U$3">
      <xdr:nvSpPr>
        <xdr:cNvPr id="73" name="TextBox 5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 txBox="1"/>
      </xdr:nvSpPr>
      <xdr:spPr>
        <a:xfrm>
          <a:off x="757235" y="2038352"/>
          <a:ext cx="928689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square" lIns="36000" rtlCol="0" anchor="t">
          <a:noAutofit/>
        </a:bodyPr>
        <a:lstStyle/>
        <a:p>
          <a:pPr algn="l"/>
          <a:fld id="{931DCFC8-787A-483B-B3AF-1F049B793E55}" type="TxLink">
            <a:rPr lang="en-US" sz="900" b="0" i="0" u="none" strike="noStrike">
              <a:solidFill>
                <a:schemeClr val="accent4">
                  <a:lumMod val="75000"/>
                </a:schemeClr>
              </a:solidFill>
              <a:latin typeface="Calibri"/>
            </a:rPr>
            <a:pPr algn="l"/>
            <a:t>0 h / 4 h</a:t>
          </a:fld>
          <a:endParaRPr lang="fr-CH" sz="900">
            <a:solidFill>
              <a:schemeClr val="accent4">
                <a:lumMod val="75000"/>
              </a:schemeClr>
            </a:solidFill>
          </a:endParaRPr>
        </a:p>
      </xdr:txBody>
    </xdr:sp>
    <xdr:clientData/>
  </xdr:oneCellAnchor>
  <xdr:twoCellAnchor>
    <xdr:from>
      <xdr:col>0</xdr:col>
      <xdr:colOff>457201</xdr:colOff>
      <xdr:row>0</xdr:row>
      <xdr:rowOff>100015</xdr:rowOff>
    </xdr:from>
    <xdr:to>
      <xdr:col>24</xdr:col>
      <xdr:colOff>205351</xdr:colOff>
      <xdr:row>1</xdr:row>
      <xdr:rowOff>2</xdr:rowOff>
    </xdr:to>
    <xdr:sp macro="" textlink="">
      <xdr:nvSpPr>
        <xdr:cNvPr id="87" name="Rectangle 1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/>
      </xdr:nvSpPr>
      <xdr:spPr>
        <a:xfrm>
          <a:off x="457201" y="100015"/>
          <a:ext cx="4991663" cy="423862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PrintsWithSheet="0"/>
  </xdr:twoCellAnchor>
  <xdr:twoCellAnchor editAs="oneCell">
    <xdr:from>
      <xdr:col>1</xdr:col>
      <xdr:colOff>1052522</xdr:colOff>
      <xdr:row>8</xdr:row>
      <xdr:rowOff>123825</xdr:rowOff>
    </xdr:from>
    <xdr:to>
      <xdr:col>1</xdr:col>
      <xdr:colOff>1232522</xdr:colOff>
      <xdr:row>8</xdr:row>
      <xdr:rowOff>303825</xdr:rowOff>
    </xdr:to>
    <xdr:pic macro="[0]!Filter_aus">
      <xdr:nvPicPr>
        <xdr:cNvPr id="74" name="Grafik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9247" y="2419350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36</xdr:col>
      <xdr:colOff>8890</xdr:colOff>
      <xdr:row>6</xdr:row>
      <xdr:rowOff>34288</xdr:rowOff>
    </xdr:from>
    <xdr:to>
      <xdr:col>38</xdr:col>
      <xdr:colOff>0</xdr:colOff>
      <xdr:row>34</xdr:row>
      <xdr:rowOff>15239</xdr:rowOff>
    </xdr:to>
    <xdr:sp macro="" textlink="">
      <xdr:nvSpPr>
        <xdr:cNvPr id="80" name="Rechteck 79">
          <a:hlinkClick xmlns:r="http://schemas.openxmlformats.org/officeDocument/2006/relationships" r:id="rId8" tooltip="Goto Planning"/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/>
      </xdr:nvSpPr>
      <xdr:spPr>
        <a:xfrm>
          <a:off x="16376650" y="2053588"/>
          <a:ext cx="1667510" cy="55435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>
    <xdr:from>
      <xdr:col>30</xdr:col>
      <xdr:colOff>59690</xdr:colOff>
      <xdr:row>8</xdr:row>
      <xdr:rowOff>30480</xdr:rowOff>
    </xdr:from>
    <xdr:to>
      <xdr:col>31</xdr:col>
      <xdr:colOff>60960</xdr:colOff>
      <xdr:row>34</xdr:row>
      <xdr:rowOff>22859</xdr:rowOff>
    </xdr:to>
    <xdr:sp macro="" textlink="">
      <xdr:nvSpPr>
        <xdr:cNvPr id="81" name="Rechteck 80">
          <a:hlinkClick xmlns:r="http://schemas.openxmlformats.org/officeDocument/2006/relationships" r:id="rId9" tooltip="Goto Planning"/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/>
      </xdr:nvSpPr>
      <xdr:spPr>
        <a:xfrm>
          <a:off x="10925810" y="2362200"/>
          <a:ext cx="854710" cy="524255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>
    <xdr:from>
      <xdr:col>27</xdr:col>
      <xdr:colOff>0</xdr:colOff>
      <xdr:row>3</xdr:row>
      <xdr:rowOff>304799</xdr:rowOff>
    </xdr:from>
    <xdr:to>
      <xdr:col>27</xdr:col>
      <xdr:colOff>857250</xdr:colOff>
      <xdr:row>4</xdr:row>
      <xdr:rowOff>200024</xdr:rowOff>
    </xdr:to>
    <xdr:sp macro="" textlink="">
      <xdr:nvSpPr>
        <xdr:cNvPr id="82" name="Rechteck 81">
          <a:hlinkClick xmlns:r="http://schemas.openxmlformats.org/officeDocument/2006/relationships" r:id="rId10" tooltip="Goto Charter"/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/>
      </xdr:nvSpPr>
      <xdr:spPr>
        <a:xfrm>
          <a:off x="8305800" y="1419224"/>
          <a:ext cx="857250" cy="20002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11</xdr:row>
          <xdr:rowOff>0</xdr:rowOff>
        </xdr:from>
        <xdr:to>
          <xdr:col>5</xdr:col>
          <xdr:colOff>160020</xdr:colOff>
          <xdr:row>11</xdr:row>
          <xdr:rowOff>0</xdr:rowOff>
        </xdr:to>
        <xdr:sp macro="" textlink="">
          <xdr:nvSpPr>
            <xdr:cNvPr id="206174" name="Control 350" hidden="1">
              <a:extLst>
                <a:ext uri="{63B3BB69-23CF-44E3-9099-C40C66FF867C}">
                  <a14:compatExt spid="_x0000_s206174"/>
                </a:ext>
                <a:ext uri="{FF2B5EF4-FFF2-40B4-BE49-F238E27FC236}">
                  <a16:creationId xmlns:a16="http://schemas.microsoft.com/office/drawing/2014/main" id="{00000000-0008-0000-0200-00005E25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462355</xdr:colOff>
      <xdr:row>0</xdr:row>
      <xdr:rowOff>161926</xdr:rowOff>
    </xdr:from>
    <xdr:to>
      <xdr:col>27</xdr:col>
      <xdr:colOff>800875</xdr:colOff>
      <xdr:row>0</xdr:row>
      <xdr:rowOff>485777</xdr:rowOff>
    </xdr:to>
    <xdr:grpSp>
      <xdr:nvGrpSpPr>
        <xdr:cNvPr id="9" name="Gruppieren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pSpPr/>
      </xdr:nvGrpSpPr>
      <xdr:grpSpPr>
        <a:xfrm>
          <a:off x="462355" y="161926"/>
          <a:ext cx="8819580" cy="323851"/>
          <a:chOff x="462355" y="161926"/>
          <a:chExt cx="6891720" cy="323851"/>
        </a:xfrm>
      </xdr:grpSpPr>
      <xdr:sp macro="" textlink="">
        <xdr:nvSpPr>
          <xdr:cNvPr id="89" name="Rechteck: obere Ecken abgerundet 13">
            <a:hlinkClick xmlns:r="http://schemas.openxmlformats.org/officeDocument/2006/relationships" r:id="rId11" tooltip="Go to"/>
            <a:extLst>
              <a:ext uri="{FF2B5EF4-FFF2-40B4-BE49-F238E27FC236}">
                <a16:creationId xmlns:a16="http://schemas.microsoft.com/office/drawing/2014/main" id="{00000000-0008-0000-0300-000059000000}"/>
              </a:ext>
            </a:extLst>
          </xdr:cNvPr>
          <xdr:cNvSpPr/>
        </xdr:nvSpPr>
        <xdr:spPr>
          <a:xfrm>
            <a:off x="462355" y="161926"/>
            <a:ext cx="1117822" cy="323851"/>
          </a:xfrm>
          <a:prstGeom prst="round2Same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Team</a:t>
            </a:r>
          </a:p>
        </xdr:txBody>
      </xdr:sp>
      <xdr:sp macro="" textlink="' '!A43">
        <xdr:nvSpPr>
          <xdr:cNvPr id="90" name="Rechteck: obere Ecken abgerundet 14">
            <a:hlinkClick xmlns:r="http://schemas.openxmlformats.org/officeDocument/2006/relationships" r:id="rId12" tooltip="Go to"/>
            <a:extLst>
              <a:ext uri="{FF2B5EF4-FFF2-40B4-BE49-F238E27FC236}">
                <a16:creationId xmlns:a16="http://schemas.microsoft.com/office/drawing/2014/main" id="{00000000-0008-0000-0300-00005A000000}"/>
              </a:ext>
            </a:extLst>
          </xdr:cNvPr>
          <xdr:cNvSpPr/>
        </xdr:nvSpPr>
        <xdr:spPr>
          <a:xfrm>
            <a:off x="1617165" y="161926"/>
            <a:ext cx="111782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F5285A67-4782-40C0-8DAA-1B80C17BA3B2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Mandat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8">
        <xdr:nvSpPr>
          <xdr:cNvPr id="91" name="Rechteck: obere Ecken abgerundet 15">
            <a:hlinkClick xmlns:r="http://schemas.openxmlformats.org/officeDocument/2006/relationships" r:id="rId13" tooltip="Go to"/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SpPr/>
        </xdr:nvSpPr>
        <xdr:spPr>
          <a:xfrm>
            <a:off x="2771974" y="161926"/>
            <a:ext cx="111782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5818CC91-1A9A-4671-AE9C-6C14B9378430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Planification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45">
        <xdr:nvSpPr>
          <xdr:cNvPr id="92" name="Rechteck: obere Ecken abgerundet 21">
            <a:hlinkClick xmlns:r="http://schemas.openxmlformats.org/officeDocument/2006/relationships" r:id="rId14" tooltip="Go to"/>
            <a:extLst>
              <a:ext uri="{FF2B5EF4-FFF2-40B4-BE49-F238E27FC236}">
                <a16:creationId xmlns:a16="http://schemas.microsoft.com/office/drawing/2014/main" id="{00000000-0008-0000-0300-00005C000000}"/>
              </a:ext>
            </a:extLst>
          </xdr:cNvPr>
          <xdr:cNvSpPr/>
        </xdr:nvSpPr>
        <xdr:spPr>
          <a:xfrm>
            <a:off x="3926784" y="161926"/>
            <a:ext cx="111782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1A76711D-4D39-49DB-8D30-B3EF211DE2BE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Suivi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75" name="Rechteck: obere Ecken abgerundet 21">
            <a:hlinkClick xmlns:r="http://schemas.openxmlformats.org/officeDocument/2006/relationships" r:id="rId15" tooltip="Go to"/>
            <a:extLst>
              <a:ext uri="{FF2B5EF4-FFF2-40B4-BE49-F238E27FC236}">
                <a16:creationId xmlns:a16="http://schemas.microsoft.com/office/drawing/2014/main" id="{00000000-0008-0000-0300-00004B000000}"/>
              </a:ext>
            </a:extLst>
          </xdr:cNvPr>
          <xdr:cNvSpPr/>
        </xdr:nvSpPr>
        <xdr:spPr>
          <a:xfrm>
            <a:off x="5081595" y="161926"/>
            <a:ext cx="1119955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Budget</a:t>
            </a:r>
          </a:p>
        </xdr:txBody>
      </xdr:sp>
      <xdr:sp macro="" textlink="">
        <xdr:nvSpPr>
          <xdr:cNvPr id="83" name="Rechteck: obere Ecken abgerundet 21">
            <a:hlinkClick xmlns:r="http://schemas.openxmlformats.org/officeDocument/2006/relationships" r:id="rId16" tooltip="Go to"/>
            <a:extLst>
              <a:ext uri="{FF2B5EF4-FFF2-40B4-BE49-F238E27FC236}">
                <a16:creationId xmlns:a16="http://schemas.microsoft.com/office/drawing/2014/main" id="{00000000-0008-0000-0300-000053000000}"/>
              </a:ext>
            </a:extLst>
          </xdr:cNvPr>
          <xdr:cNvSpPr/>
        </xdr:nvSpPr>
        <xdr:spPr>
          <a:xfrm>
            <a:off x="6234120" y="161926"/>
            <a:ext cx="1119955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Com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541020</xdr:colOff>
          <xdr:row>8</xdr:row>
          <xdr:rowOff>190500</xdr:rowOff>
        </xdr:from>
        <xdr:to>
          <xdr:col>28</xdr:col>
          <xdr:colOff>762000</xdr:colOff>
          <xdr:row>9</xdr:row>
          <xdr:rowOff>0</xdr:rowOff>
        </xdr:to>
        <xdr:sp macro="" textlink="">
          <xdr:nvSpPr>
            <xdr:cNvPr id="206545" name="Check Box 721" descr="h" hidden="1">
              <a:extLst>
                <a:ext uri="{63B3BB69-23CF-44E3-9099-C40C66FF867C}">
                  <a14:compatExt spid="_x0000_s206545"/>
                </a:ext>
                <a:ext uri="{FF2B5EF4-FFF2-40B4-BE49-F238E27FC236}">
                  <a16:creationId xmlns:a16="http://schemas.microsoft.com/office/drawing/2014/main" id="{00000000-0008-0000-0200-0000D126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38</xdr:col>
      <xdr:colOff>781050</xdr:colOff>
      <xdr:row>1</xdr:row>
      <xdr:rowOff>38100</xdr:rowOff>
    </xdr:from>
    <xdr:to>
      <xdr:col>38</xdr:col>
      <xdr:colOff>997050</xdr:colOff>
      <xdr:row>1</xdr:row>
      <xdr:rowOff>254100</xdr:rowOff>
    </xdr:to>
    <xdr:pic>
      <xdr:nvPicPr>
        <xdr:cNvPr id="84" name="Grafik 83">
          <a:hlinkClick xmlns:r="http://schemas.openxmlformats.org/officeDocument/2006/relationships" r:id="rId17" tooltip="Options"/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7325" y="561975"/>
          <a:ext cx="216000" cy="21600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1028700</xdr:colOff>
      <xdr:row>14</xdr:row>
      <xdr:rowOff>9525</xdr:rowOff>
    </xdr:from>
    <xdr:to>
      <xdr:col>9</xdr:col>
      <xdr:colOff>9525</xdr:colOff>
      <xdr:row>15</xdr:row>
      <xdr:rowOff>0</xdr:rowOff>
    </xdr:to>
    <xdr:sp macro="" textlink="">
      <xdr:nvSpPr>
        <xdr:cNvPr id="8" name="Rechteck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6010275" y="3219450"/>
          <a:ext cx="190500" cy="18097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oneCell">
    <xdr:from>
      <xdr:col>3</xdr:col>
      <xdr:colOff>130628</xdr:colOff>
      <xdr:row>28</xdr:row>
      <xdr:rowOff>74840</xdr:rowOff>
    </xdr:from>
    <xdr:to>
      <xdr:col>6</xdr:col>
      <xdr:colOff>128928</xdr:colOff>
      <xdr:row>31</xdr:row>
      <xdr:rowOff>27215</xdr:rowOff>
    </xdr:to>
    <xdr:graphicFrame macro="">
      <xdr:nvGraphicFramePr>
        <xdr:cNvPr id="29" name="Diagramm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3</xdr:col>
      <xdr:colOff>130628</xdr:colOff>
      <xdr:row>29</xdr:row>
      <xdr:rowOff>239067</xdr:rowOff>
    </xdr:from>
    <xdr:to>
      <xdr:col>6</xdr:col>
      <xdr:colOff>127000</xdr:colOff>
      <xdr:row>33</xdr:row>
      <xdr:rowOff>33129</xdr:rowOff>
    </xdr:to>
    <xdr:graphicFrame macro="">
      <xdr:nvGraphicFramePr>
        <xdr:cNvPr id="36" name="Diagramm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3</xdr:col>
      <xdr:colOff>130628</xdr:colOff>
      <xdr:row>31</xdr:row>
      <xdr:rowOff>239066</xdr:rowOff>
    </xdr:from>
    <xdr:to>
      <xdr:col>6</xdr:col>
      <xdr:colOff>128928</xdr:colOff>
      <xdr:row>35</xdr:row>
      <xdr:rowOff>36412</xdr:rowOff>
    </xdr:to>
    <xdr:graphicFrame macro="">
      <xdr:nvGraphicFramePr>
        <xdr:cNvPr id="37" name="Diagramm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7</xdr:col>
      <xdr:colOff>1036330</xdr:colOff>
      <xdr:row>4</xdr:row>
      <xdr:rowOff>89535</xdr:rowOff>
    </xdr:from>
    <xdr:to>
      <xdr:col>8</xdr:col>
      <xdr:colOff>146746</xdr:colOff>
      <xdr:row>4</xdr:row>
      <xdr:rowOff>269535</xdr:rowOff>
    </xdr:to>
    <xdr:grpSp>
      <xdr:nvGrpSpPr>
        <xdr:cNvPr id="54" name="Gruppieren 53">
          <a:hlinkClick xmlns:r="http://schemas.openxmlformats.org/officeDocument/2006/relationships" r:id="rId5" tooltip="Goto Team"/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GrpSpPr>
          <a:grpSpLocks/>
        </xdr:cNvGrpSpPr>
      </xdr:nvGrpSpPr>
      <xdr:grpSpPr>
        <a:xfrm>
          <a:off x="6141730" y="1156335"/>
          <a:ext cx="177216" cy="180000"/>
          <a:chOff x="12020550" y="2171700"/>
          <a:chExt cx="324000" cy="325465"/>
        </a:xfrm>
      </xdr:grpSpPr>
      <xdr:sp macro="" textlink="">
        <xdr:nvSpPr>
          <xdr:cNvPr id="55" name="Rechteck 54">
            <a:extLst>
              <a:ext uri="{FF2B5EF4-FFF2-40B4-BE49-F238E27FC236}">
                <a16:creationId xmlns:a16="http://schemas.microsoft.com/office/drawing/2014/main" id="{00000000-0008-0000-0400-000037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6" name="Pfeil nach rechts 55">
            <a:extLst>
              <a:ext uri="{FF2B5EF4-FFF2-40B4-BE49-F238E27FC236}">
                <a16:creationId xmlns:a16="http://schemas.microsoft.com/office/drawing/2014/main" id="{00000000-0008-0000-0400-000038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3</xdr:col>
      <xdr:colOff>753665</xdr:colOff>
      <xdr:row>26</xdr:row>
      <xdr:rowOff>186928</xdr:rowOff>
    </xdr:from>
    <xdr:to>
      <xdr:col>3</xdr:col>
      <xdr:colOff>930473</xdr:colOff>
      <xdr:row>27</xdr:row>
      <xdr:rowOff>176428</xdr:rowOff>
    </xdr:to>
    <xdr:grpSp>
      <xdr:nvGrpSpPr>
        <xdr:cNvPr id="41" name="Gruppieren 40">
          <a:hlinkClick xmlns:r="http://schemas.openxmlformats.org/officeDocument/2006/relationships" r:id="rId6" tooltip="Goto Budget"/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GrpSpPr>
          <a:grpSpLocks noChangeAspect="1"/>
        </xdr:cNvGrpSpPr>
      </xdr:nvGrpSpPr>
      <xdr:grpSpPr>
        <a:xfrm>
          <a:off x="2536745" y="5612368"/>
          <a:ext cx="176808" cy="180000"/>
          <a:chOff x="12020550" y="2171700"/>
          <a:chExt cx="324000" cy="325465"/>
        </a:xfrm>
      </xdr:grpSpPr>
      <xdr:sp macro="" textlink="">
        <xdr:nvSpPr>
          <xdr:cNvPr id="42" name="Rechteck 41">
            <a:extLst>
              <a:ext uri="{FF2B5EF4-FFF2-40B4-BE49-F238E27FC236}">
                <a16:creationId xmlns:a16="http://schemas.microsoft.com/office/drawing/2014/main" id="{00000000-0008-0000-0400-00002A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3" name="Pfeil nach rechts 42">
            <a:extLst>
              <a:ext uri="{FF2B5EF4-FFF2-40B4-BE49-F238E27FC236}">
                <a16:creationId xmlns:a16="http://schemas.microsoft.com/office/drawing/2014/main" id="{00000000-0008-0000-0400-00002B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214316</xdr:colOff>
          <xdr:row>0</xdr:row>
          <xdr:rowOff>19048</xdr:rowOff>
        </xdr:from>
        <xdr:to>
          <xdr:col>9</xdr:col>
          <xdr:colOff>1147766</xdr:colOff>
          <xdr:row>0</xdr:row>
          <xdr:rowOff>533398</xdr:rowOff>
        </xdr:to>
        <xdr:pic>
          <xdr:nvPicPr>
            <xdr:cNvPr id="47" name="Grafik 46">
              <a:extLst>
                <a:ext uri="{FF2B5EF4-FFF2-40B4-BE49-F238E27FC236}">
                  <a16:creationId xmlns:a16="http://schemas.microsoft.com/office/drawing/2014/main" id="{00000000-0008-0000-0400-00002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01987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5195891" y="19048"/>
              <a:ext cx="2143125" cy="51435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7</xdr:col>
      <xdr:colOff>1028699</xdr:colOff>
      <xdr:row>8</xdr:row>
      <xdr:rowOff>0</xdr:rowOff>
    </xdr:from>
    <xdr:to>
      <xdr:col>8</xdr:col>
      <xdr:colOff>171449</xdr:colOff>
      <xdr:row>9</xdr:row>
      <xdr:rowOff>9525</xdr:rowOff>
    </xdr:to>
    <xdr:sp macro="" textlink="">
      <xdr:nvSpPr>
        <xdr:cNvPr id="85" name="Rechteck 8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/>
      </xdr:nvSpPr>
      <xdr:spPr>
        <a:xfrm>
          <a:off x="6010274" y="2066925"/>
          <a:ext cx="180975" cy="20002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8</xdr:col>
      <xdr:colOff>0</xdr:colOff>
      <xdr:row>27</xdr:row>
      <xdr:rowOff>0</xdr:rowOff>
    </xdr:from>
    <xdr:to>
      <xdr:col>9</xdr:col>
      <xdr:colOff>19050</xdr:colOff>
      <xdr:row>27</xdr:row>
      <xdr:rowOff>180975</xdr:rowOff>
    </xdr:to>
    <xdr:sp macro="" textlink="">
      <xdr:nvSpPr>
        <xdr:cNvPr id="86" name="Rechteck 8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/>
      </xdr:nvSpPr>
      <xdr:spPr>
        <a:xfrm>
          <a:off x="6019800" y="5686425"/>
          <a:ext cx="190500" cy="18097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7</xdr:col>
      <xdr:colOff>1019175</xdr:colOff>
      <xdr:row>37</xdr:row>
      <xdr:rowOff>0</xdr:rowOff>
    </xdr:from>
    <xdr:to>
      <xdr:col>9</xdr:col>
      <xdr:colOff>0</xdr:colOff>
      <xdr:row>37</xdr:row>
      <xdr:rowOff>180975</xdr:rowOff>
    </xdr:to>
    <xdr:sp macro="" textlink="">
      <xdr:nvSpPr>
        <xdr:cNvPr id="87" name="Rechteck 8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/>
      </xdr:nvSpPr>
      <xdr:spPr>
        <a:xfrm>
          <a:off x="6000750" y="7439025"/>
          <a:ext cx="190500" cy="18097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9</xdr:col>
      <xdr:colOff>1028699</xdr:colOff>
      <xdr:row>8</xdr:row>
      <xdr:rowOff>0</xdr:rowOff>
    </xdr:from>
    <xdr:to>
      <xdr:col>10</xdr:col>
      <xdr:colOff>171449</xdr:colOff>
      <xdr:row>9</xdr:row>
      <xdr:rowOff>9525</xdr:rowOff>
    </xdr:to>
    <xdr:sp macro="" textlink="">
      <xdr:nvSpPr>
        <xdr:cNvPr id="88" name="Rechteck 8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/>
      </xdr:nvSpPr>
      <xdr:spPr>
        <a:xfrm>
          <a:off x="6010274" y="2066925"/>
          <a:ext cx="180975" cy="20002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absolute">
    <xdr:from>
      <xdr:col>10</xdr:col>
      <xdr:colOff>11112</xdr:colOff>
      <xdr:row>14</xdr:row>
      <xdr:rowOff>100014</xdr:rowOff>
    </xdr:from>
    <xdr:to>
      <xdr:col>11</xdr:col>
      <xdr:colOff>6350</xdr:colOff>
      <xdr:row>15</xdr:row>
      <xdr:rowOff>72293</xdr:rowOff>
    </xdr:to>
    <xdr:sp macro="" textlink="">
      <xdr:nvSpPr>
        <xdr:cNvPr id="26" name="TextBox 25">
          <a:hlinkClick xmlns:r="http://schemas.openxmlformats.org/officeDocument/2006/relationships" r:id="rId11" tooltip="Indicator"/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/>
      </xdr:nvSpPr>
      <xdr:spPr>
        <a:xfrm>
          <a:off x="7862887" y="3328989"/>
          <a:ext cx="166688" cy="1532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1" i="0" u="none" strike="noStrike">
            <a:solidFill>
              <a:schemeClr val="tx2"/>
            </a:solidFill>
            <a:latin typeface="Calibri"/>
          </a:endParaRPr>
        </a:p>
      </xdr:txBody>
    </xdr:sp>
    <xdr:clientData/>
  </xdr:twoCellAnchor>
  <xdr:twoCellAnchor editAs="absolute">
    <xdr:from>
      <xdr:col>10</xdr:col>
      <xdr:colOff>11112</xdr:colOff>
      <xdr:row>15</xdr:row>
      <xdr:rowOff>100967</xdr:rowOff>
    </xdr:from>
    <xdr:to>
      <xdr:col>11</xdr:col>
      <xdr:colOff>6350</xdr:colOff>
      <xdr:row>16</xdr:row>
      <xdr:rowOff>73246</xdr:rowOff>
    </xdr:to>
    <xdr:sp macro="" textlink="">
      <xdr:nvSpPr>
        <xdr:cNvPr id="27" name="TextBox 26">
          <a:hlinkClick xmlns:r="http://schemas.openxmlformats.org/officeDocument/2006/relationships" r:id="rId11" tooltip="Indicator"/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/>
      </xdr:nvSpPr>
      <xdr:spPr>
        <a:xfrm>
          <a:off x="7862887" y="3510917"/>
          <a:ext cx="166688" cy="1532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0" i="0" u="none" strike="noStrike">
            <a:solidFill>
              <a:schemeClr val="tx2"/>
            </a:solidFill>
            <a:latin typeface="Calibri"/>
          </a:endParaRPr>
        </a:p>
      </xdr:txBody>
    </xdr:sp>
    <xdr:clientData/>
  </xdr:twoCellAnchor>
  <xdr:twoCellAnchor editAs="absolute">
    <xdr:from>
      <xdr:col>10</xdr:col>
      <xdr:colOff>11112</xdr:colOff>
      <xdr:row>16</xdr:row>
      <xdr:rowOff>101920</xdr:rowOff>
    </xdr:from>
    <xdr:to>
      <xdr:col>11</xdr:col>
      <xdr:colOff>6350</xdr:colOff>
      <xdr:row>17</xdr:row>
      <xdr:rowOff>74199</xdr:rowOff>
    </xdr:to>
    <xdr:sp macro="" textlink="">
      <xdr:nvSpPr>
        <xdr:cNvPr id="28" name="TextBox 27">
          <a:hlinkClick xmlns:r="http://schemas.openxmlformats.org/officeDocument/2006/relationships" r:id="rId12" tooltip="Indicator"/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/>
      </xdr:nvSpPr>
      <xdr:spPr>
        <a:xfrm>
          <a:off x="7862887" y="3692845"/>
          <a:ext cx="166688" cy="1532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0" i="0" u="none" strike="noStrike">
            <a:solidFill>
              <a:schemeClr val="tx2"/>
            </a:solidFill>
            <a:latin typeface="Calibri"/>
          </a:endParaRPr>
        </a:p>
      </xdr:txBody>
    </xdr:sp>
    <xdr:clientData/>
  </xdr:twoCellAnchor>
  <xdr:twoCellAnchor editAs="absolute">
    <xdr:from>
      <xdr:col>10</xdr:col>
      <xdr:colOff>11112</xdr:colOff>
      <xdr:row>17</xdr:row>
      <xdr:rowOff>102873</xdr:rowOff>
    </xdr:from>
    <xdr:to>
      <xdr:col>11</xdr:col>
      <xdr:colOff>6350</xdr:colOff>
      <xdr:row>18</xdr:row>
      <xdr:rowOff>75152</xdr:rowOff>
    </xdr:to>
    <xdr:sp macro="" textlink="">
      <xdr:nvSpPr>
        <xdr:cNvPr id="30" name="TextBox 29">
          <a:hlinkClick xmlns:r="http://schemas.openxmlformats.org/officeDocument/2006/relationships" r:id="rId13" tooltip="Indicator"/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/>
      </xdr:nvSpPr>
      <xdr:spPr>
        <a:xfrm>
          <a:off x="7862887" y="3874773"/>
          <a:ext cx="166688" cy="1532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0" i="0" u="none" strike="noStrike">
            <a:solidFill>
              <a:schemeClr val="tx2"/>
            </a:solidFill>
            <a:latin typeface="Calibri"/>
          </a:endParaRPr>
        </a:p>
      </xdr:txBody>
    </xdr:sp>
    <xdr:clientData/>
  </xdr:twoCellAnchor>
  <xdr:twoCellAnchor editAs="absolute">
    <xdr:from>
      <xdr:col>10</xdr:col>
      <xdr:colOff>11112</xdr:colOff>
      <xdr:row>18</xdr:row>
      <xdr:rowOff>103826</xdr:rowOff>
    </xdr:from>
    <xdr:to>
      <xdr:col>11</xdr:col>
      <xdr:colOff>6350</xdr:colOff>
      <xdr:row>19</xdr:row>
      <xdr:rowOff>76105</xdr:rowOff>
    </xdr:to>
    <xdr:sp macro="" textlink="">
      <xdr:nvSpPr>
        <xdr:cNvPr id="31" name="TextBox 30">
          <a:hlinkClick xmlns:r="http://schemas.openxmlformats.org/officeDocument/2006/relationships" r:id="rId14" tooltip="Indicator"/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/>
      </xdr:nvSpPr>
      <xdr:spPr>
        <a:xfrm>
          <a:off x="7862887" y="4056701"/>
          <a:ext cx="166688" cy="1532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0" i="0" u="none" strike="noStrike">
            <a:solidFill>
              <a:schemeClr val="tx2"/>
            </a:solidFill>
            <a:latin typeface="Calibri"/>
          </a:endParaRPr>
        </a:p>
      </xdr:txBody>
    </xdr:sp>
    <xdr:clientData/>
  </xdr:twoCellAnchor>
  <xdr:twoCellAnchor editAs="absolute">
    <xdr:from>
      <xdr:col>10</xdr:col>
      <xdr:colOff>11112</xdr:colOff>
      <xdr:row>19</xdr:row>
      <xdr:rowOff>114303</xdr:rowOff>
    </xdr:from>
    <xdr:to>
      <xdr:col>11</xdr:col>
      <xdr:colOff>6350</xdr:colOff>
      <xdr:row>20</xdr:row>
      <xdr:rowOff>77057</xdr:rowOff>
    </xdr:to>
    <xdr:sp macro="" textlink="">
      <xdr:nvSpPr>
        <xdr:cNvPr id="32" name="TextBox 31">
          <a:hlinkClick xmlns:r="http://schemas.openxmlformats.org/officeDocument/2006/relationships" r:id="rId15" tooltip="Indicator"/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/>
      </xdr:nvSpPr>
      <xdr:spPr>
        <a:xfrm>
          <a:off x="7862887" y="4238628"/>
          <a:ext cx="166688" cy="1532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0" i="0" u="none" strike="noStrike">
            <a:solidFill>
              <a:schemeClr val="tx2"/>
            </a:solidFill>
            <a:latin typeface="Calibri"/>
          </a:endParaRPr>
        </a:p>
      </xdr:txBody>
    </xdr:sp>
    <xdr:clientData/>
  </xdr:twoCellAnchor>
  <xdr:twoCellAnchor>
    <xdr:from>
      <xdr:col>0</xdr:col>
      <xdr:colOff>66675</xdr:colOff>
      <xdr:row>0</xdr:row>
      <xdr:rowOff>195265</xdr:rowOff>
    </xdr:from>
    <xdr:to>
      <xdr:col>9</xdr:col>
      <xdr:colOff>1151565</xdr:colOff>
      <xdr:row>2</xdr:row>
      <xdr:rowOff>45934</xdr:rowOff>
    </xdr:to>
    <xdr:grpSp>
      <xdr:nvGrpSpPr>
        <xdr:cNvPr id="5" name="Gruppier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pSpPr/>
      </xdr:nvGrpSpPr>
      <xdr:grpSpPr>
        <a:xfrm>
          <a:off x="66675" y="195265"/>
          <a:ext cx="7432350" cy="597429"/>
          <a:chOff x="66675" y="195265"/>
          <a:chExt cx="7276140" cy="603144"/>
        </a:xfrm>
      </xdr:grpSpPr>
      <xdr:grpSp>
        <xdr:nvGrpSpPr>
          <xdr:cNvPr id="51" name="Gruppieren 50">
            <a:hlinkClick xmlns:r="http://schemas.openxmlformats.org/officeDocument/2006/relationships" r:id="rId16" tooltip="Home"/>
            <a:extLst>
              <a:ext uri="{FF2B5EF4-FFF2-40B4-BE49-F238E27FC236}">
                <a16:creationId xmlns:a16="http://schemas.microsoft.com/office/drawing/2014/main" id="{00000000-0008-0000-0400-000033000000}"/>
              </a:ext>
            </a:extLst>
          </xdr:cNvPr>
          <xdr:cNvGrpSpPr/>
        </xdr:nvGrpSpPr>
        <xdr:grpSpPr>
          <a:xfrm>
            <a:off x="66675" y="195265"/>
            <a:ext cx="324000" cy="325465"/>
            <a:chOff x="12729063" y="1298331"/>
            <a:chExt cx="324000" cy="323267"/>
          </a:xfrm>
        </xdr:grpSpPr>
        <xdr:sp macro="" textlink="">
          <xdr:nvSpPr>
            <xdr:cNvPr id="52" name="Rechteck 51">
              <a:extLst>
                <a:ext uri="{FF2B5EF4-FFF2-40B4-BE49-F238E27FC236}">
                  <a16:creationId xmlns:a16="http://schemas.microsoft.com/office/drawing/2014/main" id="{00000000-0008-0000-0400-000034000000}"/>
                </a:ext>
              </a:extLst>
            </xdr:cNvPr>
            <xdr:cNvSpPr>
              <a:spLocks noChangeAspect="1"/>
            </xdr:cNvSpPr>
          </xdr:nvSpPr>
          <xdr:spPr>
            <a:xfrm>
              <a:off x="12729063" y="1298331"/>
              <a:ext cx="324000" cy="323267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pic>
          <xdr:nvPicPr>
            <xdr:cNvPr id="53" name="Grafik 52" descr="http://www.clker.com/cliparts/Z/I/5/L/X/x/white-house-md.png">
              <a:extLst>
                <a:ext uri="{FF2B5EF4-FFF2-40B4-BE49-F238E27FC236}">
                  <a16:creationId xmlns:a16="http://schemas.microsoft.com/office/drawing/2014/main" id="{00000000-0008-0000-0400-000035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2786214" y="1345223"/>
              <a:ext cx="228255" cy="216000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grpSp>
        <xdr:nvGrpSpPr>
          <xdr:cNvPr id="3" name="Gruppieren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GrpSpPr/>
        </xdr:nvGrpSpPr>
        <xdr:grpSpPr>
          <a:xfrm>
            <a:off x="6706097" y="623675"/>
            <a:ext cx="636718" cy="174734"/>
            <a:chOff x="6619880" y="628650"/>
            <a:chExt cx="680061" cy="180000"/>
          </a:xfrm>
        </xdr:grpSpPr>
        <xdr:grpSp>
          <xdr:nvGrpSpPr>
            <xdr:cNvPr id="48" name="Gruppieren 47">
              <a:hlinkClick xmlns:r="http://schemas.openxmlformats.org/officeDocument/2006/relationships" r:id="rId18" tooltip="Help"/>
              <a:extLst>
                <a:ext uri="{FF2B5EF4-FFF2-40B4-BE49-F238E27FC236}">
                  <a16:creationId xmlns:a16="http://schemas.microsoft.com/office/drawing/2014/main" id="{00000000-0008-0000-0400-000030000000}"/>
                </a:ext>
              </a:extLst>
            </xdr:cNvPr>
            <xdr:cNvGrpSpPr>
              <a:grpSpLocks/>
            </xdr:cNvGrpSpPr>
          </xdr:nvGrpSpPr>
          <xdr:grpSpPr>
            <a:xfrm>
              <a:off x="7119941" y="628650"/>
              <a:ext cx="180000" cy="180000"/>
              <a:chOff x="8105775" y="571500"/>
              <a:chExt cx="172800" cy="172800"/>
            </a:xfrm>
          </xdr:grpSpPr>
          <xdr:sp macro="" textlink="">
            <xdr:nvSpPr>
              <xdr:cNvPr id="49" name="Rechteck 48">
                <a:extLst>
                  <a:ext uri="{FF2B5EF4-FFF2-40B4-BE49-F238E27FC236}">
                    <a16:creationId xmlns:a16="http://schemas.microsoft.com/office/drawing/2014/main" id="{00000000-0008-0000-0400-000031000000}"/>
                  </a:ext>
                </a:extLst>
              </xdr:cNvPr>
              <xdr:cNvSpPr>
                <a:spLocks noChangeAspect="1"/>
              </xdr:cNvSpPr>
            </xdr:nvSpPr>
            <xdr:spPr>
              <a:xfrm>
                <a:off x="8105775" y="571500"/>
                <a:ext cx="172800" cy="172800"/>
              </a:xfrm>
              <a:prstGeom prst="rect">
                <a:avLst/>
              </a:prstGeom>
              <a:ln/>
              <a:effectLst/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spcFirstLastPara="0" vert="horz" wrap="square" lIns="41949" tIns="34964" rIns="41949" bIns="34964" numCol="1" spcCol="1270" anchor="ctr" anchorCtr="0">
                <a:noAutofit/>
              </a:bodyPr>
              <a:lstStyle/>
              <a:p>
                <a:pPr marL="0" marR="0" lvl="0" indent="0" algn="ctr" defTabSz="466725" rtl="0" eaLnBrk="1" fontAlgn="auto" latinLnBrk="0" hangingPunct="1">
                  <a:lnSpc>
                    <a:spcPct val="90000"/>
                  </a:lnSpc>
                  <a:spcBef>
                    <a:spcPts val="0"/>
                  </a:spcBef>
                  <a:spcAft>
                    <a:spcPct val="3500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de-CH" sz="1050" b="0" i="0" u="none" strike="noStrike" kern="0" cap="none" spc="0" normalizeH="0" baseline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50" name="Textfeld 49">
                <a:extLst>
                  <a:ext uri="{FF2B5EF4-FFF2-40B4-BE49-F238E27FC236}">
                    <a16:creationId xmlns:a16="http://schemas.microsoft.com/office/drawing/2014/main" id="{00000000-0008-0000-0400-000032000000}"/>
                  </a:ext>
                </a:extLst>
              </xdr:cNvPr>
              <xdr:cNvSpPr txBox="1"/>
            </xdr:nvSpPr>
            <xdr:spPr>
              <a:xfrm>
                <a:off x="8152998" y="584162"/>
                <a:ext cx="78355" cy="147476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de-CH" sz="1000" b="1">
                    <a:solidFill>
                      <a:schemeClr val="bg1"/>
                    </a:solidFill>
                    <a:latin typeface="Arial" pitchFamily="34" charset="0"/>
                    <a:cs typeface="Arial" pitchFamily="34" charset="0"/>
                  </a:rPr>
                  <a:t>?</a:t>
                </a:r>
              </a:p>
            </xdr:txBody>
          </xdr:sp>
        </xdr:grpSp>
        <xdr:sp macro="[0]!Register_ein" textlink="">
          <xdr:nvSpPr>
            <xdr:cNvPr id="72" name="Rechteck 78">
              <a:extLst>
                <a:ext uri="{FF2B5EF4-FFF2-40B4-BE49-F238E27FC236}">
                  <a16:creationId xmlns:a16="http://schemas.microsoft.com/office/drawing/2014/main" id="{00000000-0008-0000-0400-000048000000}"/>
                </a:ext>
              </a:extLst>
            </xdr:cNvPr>
            <xdr:cNvSpPr>
              <a:spLocks noChangeAspect="1"/>
            </xdr:cNvSpPr>
          </xdr:nvSpPr>
          <xdr:spPr>
            <a:xfrm>
              <a:off x="6619880" y="628650"/>
              <a:ext cx="189667" cy="180000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0" tIns="0" rIns="0" bIns="0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CH" sz="1600" b="0" i="0" u="none" strike="noStrike" kern="0" cap="none" spc="0" normalizeH="0" baseline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+</a:t>
              </a:r>
            </a:p>
          </xdr:txBody>
        </xdr:sp>
        <xdr:sp macro="[0]!Register_aus" textlink="">
          <xdr:nvSpPr>
            <xdr:cNvPr id="73" name="Rechteck 84">
              <a:extLst>
                <a:ext uri="{FF2B5EF4-FFF2-40B4-BE49-F238E27FC236}">
                  <a16:creationId xmlns:a16="http://schemas.microsoft.com/office/drawing/2014/main" id="{00000000-0008-0000-0400-000049000000}"/>
                </a:ext>
              </a:extLst>
            </xdr:cNvPr>
            <xdr:cNvSpPr>
              <a:spLocks noChangeAspect="1"/>
            </xdr:cNvSpPr>
          </xdr:nvSpPr>
          <xdr:spPr>
            <a:xfrm>
              <a:off x="6839907" y="628650"/>
              <a:ext cx="179190" cy="180000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0" tIns="0" rIns="0" bIns="0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CH" sz="1800" b="0" i="0" u="none" strike="noStrike" kern="0" cap="none" spc="0" normalizeH="0" baseline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-</a:t>
              </a:r>
            </a:p>
          </xdr:txBody>
        </xdr:sp>
      </xdr:grpSp>
    </xdr:grpSp>
    <xdr:clientData fPrintsWithSheet="0"/>
  </xdr:twoCellAnchor>
  <xdr:twoCellAnchor>
    <xdr:from>
      <xdr:col>0</xdr:col>
      <xdr:colOff>461962</xdr:colOff>
      <xdr:row>0</xdr:row>
      <xdr:rowOff>133353</xdr:rowOff>
    </xdr:from>
    <xdr:to>
      <xdr:col>7</xdr:col>
      <xdr:colOff>124387</xdr:colOff>
      <xdr:row>1</xdr:row>
      <xdr:rowOff>14290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461962" y="133353"/>
          <a:ext cx="4624950" cy="423862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PrintsWithSheet="0"/>
  </xdr:twoCellAnchor>
  <xdr:twoCellAnchor>
    <xdr:from>
      <xdr:col>1</xdr:col>
      <xdr:colOff>26487</xdr:colOff>
      <xdr:row>0</xdr:row>
      <xdr:rowOff>195264</xdr:rowOff>
    </xdr:from>
    <xdr:to>
      <xdr:col>2</xdr:col>
      <xdr:colOff>189688</xdr:colOff>
      <xdr:row>0</xdr:row>
      <xdr:rowOff>519115</xdr:rowOff>
    </xdr:to>
    <xdr:sp macro="" textlink="">
      <xdr:nvSpPr>
        <xdr:cNvPr id="34" name="Rechteck: obere Ecken abgerundet 13">
          <a:hlinkClick xmlns:r="http://schemas.openxmlformats.org/officeDocument/2006/relationships" r:id="rId19" tooltip="Go to"/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>
          <a:off x="493212" y="195264"/>
          <a:ext cx="1106176" cy="323851"/>
        </a:xfrm>
        <a:prstGeom prst="round2SameRect">
          <a:avLst/>
        </a:prstGeom>
        <a:gradFill>
          <a:gsLst>
            <a:gs pos="0">
              <a:schemeClr val="tx2">
                <a:lumMod val="60000"/>
                <a:lumOff val="40000"/>
              </a:schemeClr>
            </a:gs>
            <a:gs pos="8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</a:gradFill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Team</a:t>
          </a:r>
        </a:p>
      </xdr:txBody>
    </xdr:sp>
    <xdr:clientData fPrintsWithSheet="0"/>
  </xdr:twoCellAnchor>
  <xdr:twoCellAnchor>
    <xdr:from>
      <xdr:col>2</xdr:col>
      <xdr:colOff>226675</xdr:colOff>
      <xdr:row>0</xdr:row>
      <xdr:rowOff>195264</xdr:rowOff>
    </xdr:from>
    <xdr:to>
      <xdr:col>3</xdr:col>
      <xdr:colOff>1009001</xdr:colOff>
      <xdr:row>0</xdr:row>
      <xdr:rowOff>519115</xdr:rowOff>
    </xdr:to>
    <xdr:sp macro="" textlink="' '!A43">
      <xdr:nvSpPr>
        <xdr:cNvPr id="35" name="Rechteck: obere Ecken abgerundet 14">
          <a:hlinkClick xmlns:r="http://schemas.openxmlformats.org/officeDocument/2006/relationships" r:id="rId20" tooltip="Go to"/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1636375" y="195264"/>
          <a:ext cx="1106176" cy="323851"/>
        </a:xfrm>
        <a:prstGeom prst="round2Same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3C197A3B-565C-473A-93F8-801F1709354A}" type="TxLink">
            <a:rPr kumimoji="0" lang="en-US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Mandat</a:t>
          </a:fld>
          <a:endParaRPr kumimoji="0" lang="de-CH" sz="1400" b="0" i="0" u="none" strike="noStrike" kern="0" cap="none" spc="0" normalizeH="0" baseline="0">
            <a:ln>
              <a:noFill/>
            </a:ln>
            <a:solidFill>
              <a:schemeClr val="bg1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PrintsWithSheet="0"/>
  </xdr:twoCellAnchor>
  <xdr:twoCellAnchor>
    <xdr:from>
      <xdr:col>3</xdr:col>
      <xdr:colOff>1045989</xdr:colOff>
      <xdr:row>0</xdr:row>
      <xdr:rowOff>195264</xdr:rowOff>
    </xdr:from>
    <xdr:to>
      <xdr:col>5</xdr:col>
      <xdr:colOff>571015</xdr:colOff>
      <xdr:row>0</xdr:row>
      <xdr:rowOff>519115</xdr:rowOff>
    </xdr:to>
    <xdr:sp macro="" textlink="' '!A8">
      <xdr:nvSpPr>
        <xdr:cNvPr id="38" name="Rechteck: obere Ecken abgerundet 15">
          <a:hlinkClick xmlns:r="http://schemas.openxmlformats.org/officeDocument/2006/relationships" r:id="rId21" tooltip="Go to"/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2779539" y="195264"/>
          <a:ext cx="1106176" cy="323851"/>
        </a:xfrm>
        <a:prstGeom prst="round2SameRect">
          <a:avLst/>
        </a:prstGeom>
        <a:gradFill>
          <a:gsLst>
            <a:gs pos="0">
              <a:schemeClr val="tx2">
                <a:lumMod val="60000"/>
                <a:lumOff val="40000"/>
              </a:schemeClr>
            </a:gs>
            <a:gs pos="8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</a:gradFill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43347A05-79B5-40E9-AD88-A44D575072DF}" type="TxLink">
            <a:rPr kumimoji="0" lang="en-US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Planification</a:t>
          </a:fld>
          <a:endParaRPr kumimoji="0" lang="de-CH" sz="1400" b="0" i="0" u="none" strike="noStrike" kern="0" cap="none" spc="0" normalizeH="0" baseline="0">
            <a:ln>
              <a:noFill/>
            </a:ln>
            <a:solidFill>
              <a:schemeClr val="bg1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PrintsWithSheet="0"/>
  </xdr:twoCellAnchor>
  <xdr:twoCellAnchor>
    <xdr:from>
      <xdr:col>6</xdr:col>
      <xdr:colOff>17449</xdr:colOff>
      <xdr:row>0</xdr:row>
      <xdr:rowOff>195264</xdr:rowOff>
    </xdr:from>
    <xdr:to>
      <xdr:col>7</xdr:col>
      <xdr:colOff>66350</xdr:colOff>
      <xdr:row>0</xdr:row>
      <xdr:rowOff>519115</xdr:rowOff>
    </xdr:to>
    <xdr:sp macro="" textlink="' '!A45">
      <xdr:nvSpPr>
        <xdr:cNvPr id="39" name="Rechteck: obere Ecken abgerundet 21">
          <a:hlinkClick xmlns:r="http://schemas.openxmlformats.org/officeDocument/2006/relationships" r:id="rId22" tooltip="Go to"/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3922699" y="195264"/>
          <a:ext cx="1106176" cy="323851"/>
        </a:xfrm>
        <a:prstGeom prst="round2SameRect">
          <a:avLst/>
        </a:prstGeom>
        <a:gradFill>
          <a:gsLst>
            <a:gs pos="0">
              <a:schemeClr val="tx2">
                <a:lumMod val="60000"/>
                <a:lumOff val="40000"/>
              </a:schemeClr>
            </a:gs>
            <a:gs pos="8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</a:gradFill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BD043FEF-55CE-4864-AED4-B0A6E1416D39}" type="TxLink">
            <a:rPr kumimoji="0" lang="en-US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Suivi</a:t>
          </a:fld>
          <a:endParaRPr kumimoji="0" lang="de-CH" sz="1400" b="0" i="0" u="none" strike="noStrike" kern="0" cap="none" spc="0" normalizeH="0" baseline="0">
            <a:ln>
              <a:noFill/>
            </a:ln>
            <a:solidFill>
              <a:schemeClr val="bg1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PrintsWithSheet="0"/>
  </xdr:twoCellAnchor>
  <xdr:twoCellAnchor editAs="absolute">
    <xdr:from>
      <xdr:col>9</xdr:col>
      <xdr:colOff>30162</xdr:colOff>
      <xdr:row>13</xdr:row>
      <xdr:rowOff>176214</xdr:rowOff>
    </xdr:from>
    <xdr:to>
      <xdr:col>10</xdr:col>
      <xdr:colOff>6350</xdr:colOff>
      <xdr:row>14</xdr:row>
      <xdr:rowOff>104775</xdr:rowOff>
    </xdr:to>
    <xdr:sp macro="" textlink="">
      <xdr:nvSpPr>
        <xdr:cNvPr id="40" name="TextBox 25">
          <a:hlinkClick xmlns:r="http://schemas.openxmlformats.org/officeDocument/2006/relationships" r:id="rId11" tooltip="Indicator"/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/>
      </xdr:nvSpPr>
      <xdr:spPr>
        <a:xfrm>
          <a:off x="6215062" y="3243264"/>
          <a:ext cx="1119188" cy="1762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1" i="0" u="none" strike="noStrike">
            <a:solidFill>
              <a:schemeClr val="tx2"/>
            </a:solidFill>
            <a:latin typeface="Calibri"/>
          </a:endParaRPr>
        </a:p>
      </xdr:txBody>
    </xdr:sp>
    <xdr:clientData/>
  </xdr:twoCellAnchor>
  <xdr:twoCellAnchor editAs="oneCell">
    <xdr:from>
      <xdr:col>9</xdr:col>
      <xdr:colOff>971560</xdr:colOff>
      <xdr:row>14</xdr:row>
      <xdr:rowOff>9525</xdr:rowOff>
    </xdr:from>
    <xdr:to>
      <xdr:col>10</xdr:col>
      <xdr:colOff>1966</xdr:colOff>
      <xdr:row>15</xdr:row>
      <xdr:rowOff>295</xdr:rowOff>
    </xdr:to>
    <xdr:grpSp>
      <xdr:nvGrpSpPr>
        <xdr:cNvPr id="44" name="Gruppieren 43">
          <a:hlinkClick xmlns:r="http://schemas.openxmlformats.org/officeDocument/2006/relationships" r:id="rId11" tooltip="Goto indicators"/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GrpSpPr>
          <a:grpSpLocks/>
        </xdr:cNvGrpSpPr>
      </xdr:nvGrpSpPr>
      <xdr:grpSpPr>
        <a:xfrm>
          <a:off x="7319020" y="3248025"/>
          <a:ext cx="203886" cy="173650"/>
          <a:chOff x="12020550" y="2171700"/>
          <a:chExt cx="324000" cy="325465"/>
        </a:xfrm>
      </xdr:grpSpPr>
      <xdr:sp macro="" textlink="">
        <xdr:nvSpPr>
          <xdr:cNvPr id="45" name="Rechteck 44">
            <a:extLst>
              <a:ext uri="{FF2B5EF4-FFF2-40B4-BE49-F238E27FC236}">
                <a16:creationId xmlns:a16="http://schemas.microsoft.com/office/drawing/2014/main" id="{00000000-0008-0000-0400-00002D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6" name="Pfeil nach rechts 55">
            <a:extLst>
              <a:ext uri="{FF2B5EF4-FFF2-40B4-BE49-F238E27FC236}">
                <a16:creationId xmlns:a16="http://schemas.microsoft.com/office/drawing/2014/main" id="{00000000-0008-0000-0400-00002E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6</xdr:col>
      <xdr:colOff>28575</xdr:colOff>
      <xdr:row>29</xdr:row>
      <xdr:rowOff>9524</xdr:rowOff>
    </xdr:from>
    <xdr:to>
      <xdr:col>6</xdr:col>
      <xdr:colOff>1047750</xdr:colOff>
      <xdr:row>33</xdr:row>
      <xdr:rowOff>266699</xdr:rowOff>
    </xdr:to>
    <xdr:sp macro="" textlink="">
      <xdr:nvSpPr>
        <xdr:cNvPr id="4" name="Rechteck 3">
          <a:hlinkClick xmlns:r="http://schemas.openxmlformats.org/officeDocument/2006/relationships" r:id="rId23" tooltip="Goto Team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3952875" y="6105524"/>
          <a:ext cx="1019175" cy="94297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>
    <xdr:from>
      <xdr:col>6</xdr:col>
      <xdr:colOff>19050</xdr:colOff>
      <xdr:row>34</xdr:row>
      <xdr:rowOff>66676</xdr:rowOff>
    </xdr:from>
    <xdr:to>
      <xdr:col>6</xdr:col>
      <xdr:colOff>1038225</xdr:colOff>
      <xdr:row>35</xdr:row>
      <xdr:rowOff>266698</xdr:rowOff>
    </xdr:to>
    <xdr:sp macro="" textlink="">
      <xdr:nvSpPr>
        <xdr:cNvPr id="57" name="Rechteck 56">
          <a:hlinkClick xmlns:r="http://schemas.openxmlformats.org/officeDocument/2006/relationships" r:id="rId24" tooltip="Goto budget"/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/>
      </xdr:nvSpPr>
      <xdr:spPr>
        <a:xfrm>
          <a:off x="3943350" y="7115176"/>
          <a:ext cx="1019175" cy="27622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>
    <xdr:from>
      <xdr:col>7</xdr:col>
      <xdr:colOff>9525</xdr:colOff>
      <xdr:row>28</xdr:row>
      <xdr:rowOff>180976</xdr:rowOff>
    </xdr:from>
    <xdr:to>
      <xdr:col>7</xdr:col>
      <xdr:colOff>1028700</xdr:colOff>
      <xdr:row>34</xdr:row>
      <xdr:rowOff>0</xdr:rowOff>
    </xdr:to>
    <xdr:sp macro="" textlink="">
      <xdr:nvSpPr>
        <xdr:cNvPr id="58" name="Rechteck 57">
          <a:hlinkClick xmlns:r="http://schemas.openxmlformats.org/officeDocument/2006/relationships" r:id="rId6" tooltip="Goto budget"/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/>
      </xdr:nvSpPr>
      <xdr:spPr>
        <a:xfrm>
          <a:off x="4991100" y="6086476"/>
          <a:ext cx="1019175" cy="962024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>
    <xdr:from>
      <xdr:col>9</xdr:col>
      <xdr:colOff>9525</xdr:colOff>
      <xdr:row>29</xdr:row>
      <xdr:rowOff>1</xdr:rowOff>
    </xdr:from>
    <xdr:to>
      <xdr:col>9</xdr:col>
      <xdr:colOff>1143000</xdr:colOff>
      <xdr:row>34</xdr:row>
      <xdr:rowOff>9525</xdr:rowOff>
    </xdr:to>
    <xdr:sp macro="" textlink="">
      <xdr:nvSpPr>
        <xdr:cNvPr id="60" name="Rechteck 59">
          <a:hlinkClick xmlns:r="http://schemas.openxmlformats.org/officeDocument/2006/relationships" r:id="rId6" tooltip="Goto budget"/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/>
      </xdr:nvSpPr>
      <xdr:spPr>
        <a:xfrm>
          <a:off x="6200775" y="6096001"/>
          <a:ext cx="1133475" cy="962024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>
    <xdr:from>
      <xdr:col>1</xdr:col>
      <xdr:colOff>2541</xdr:colOff>
      <xdr:row>29</xdr:row>
      <xdr:rowOff>3176</xdr:rowOff>
    </xdr:from>
    <xdr:to>
      <xdr:col>3</xdr:col>
      <xdr:colOff>269876</xdr:colOff>
      <xdr:row>34</xdr:row>
      <xdr:rowOff>12700</xdr:rowOff>
    </xdr:to>
    <xdr:sp macro="" textlink="">
      <xdr:nvSpPr>
        <xdr:cNvPr id="63" name="Rechteck 62">
          <a:hlinkClick xmlns:r="http://schemas.openxmlformats.org/officeDocument/2006/relationships" r:id="rId6" tooltip="Goto budget"/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/>
      </xdr:nvSpPr>
      <xdr:spPr>
        <a:xfrm>
          <a:off x="482601" y="5992496"/>
          <a:ext cx="1570355" cy="962024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 editAs="oneCell">
    <xdr:from>
      <xdr:col>9</xdr:col>
      <xdr:colOff>200025</xdr:colOff>
      <xdr:row>1</xdr:row>
      <xdr:rowOff>66675</xdr:rowOff>
    </xdr:from>
    <xdr:to>
      <xdr:col>9</xdr:col>
      <xdr:colOff>416025</xdr:colOff>
      <xdr:row>2</xdr:row>
      <xdr:rowOff>73125</xdr:rowOff>
    </xdr:to>
    <xdr:pic>
      <xdr:nvPicPr>
        <xdr:cNvPr id="77" name="Grafik 76">
          <a:hlinkClick xmlns:r="http://schemas.openxmlformats.org/officeDocument/2006/relationships" r:id="rId25" tooltip="Options"/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609600"/>
          <a:ext cx="216000" cy="216000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238123</xdr:colOff>
      <xdr:row>4</xdr:row>
      <xdr:rowOff>219075</xdr:rowOff>
    </xdr:from>
    <xdr:to>
      <xdr:col>3</xdr:col>
      <xdr:colOff>129823</xdr:colOff>
      <xdr:row>11</xdr:row>
      <xdr:rowOff>25816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161926</xdr:colOff>
      <xdr:row>11</xdr:row>
      <xdr:rowOff>114301</xdr:rowOff>
    </xdr:from>
    <xdr:to>
      <xdr:col>10</xdr:col>
      <xdr:colOff>341926</xdr:colOff>
      <xdr:row>12</xdr:row>
      <xdr:rowOff>132376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1" y="2038351"/>
          <a:ext cx="180000" cy="180000"/>
        </a:xfrm>
        <a:prstGeom prst="rect">
          <a:avLst/>
        </a:prstGeom>
      </xdr:spPr>
    </xdr:pic>
    <xdr:clientData/>
  </xdr:twoCellAnchor>
  <xdr:oneCellAnchor>
    <xdr:from>
      <xdr:col>2</xdr:col>
      <xdr:colOff>26011</xdr:colOff>
      <xdr:row>9</xdr:row>
      <xdr:rowOff>138284</xdr:rowOff>
    </xdr:from>
    <xdr:ext cx="1042989" cy="233205"/>
    <xdr:sp macro="" textlink="Projektmgmt!$U$3">
      <xdr:nvSpPr>
        <xdr:cNvPr id="68" name="TextBox 5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666091" y="1601324"/>
          <a:ext cx="1042989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square" lIns="36000" rtlCol="0" anchor="ctr">
          <a:noAutofit/>
        </a:bodyPr>
        <a:lstStyle/>
        <a:p>
          <a:pPr algn="l"/>
          <a:fld id="{931DCFC8-787A-483B-B3AF-1F049B793E55}" type="TxLink">
            <a:rPr lang="en-US" sz="1000" b="0" i="0" u="none" strike="noStrike">
              <a:solidFill>
                <a:schemeClr val="accent4">
                  <a:lumMod val="7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0 h / 4 h</a:t>
          </a:fld>
          <a:endParaRPr lang="fr-CH" sz="1000">
            <a:solidFill>
              <a:schemeClr val="accent4">
                <a:lumMod val="75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>
    <xdr:from>
      <xdr:col>1</xdr:col>
      <xdr:colOff>369588</xdr:colOff>
      <xdr:row>0</xdr:row>
      <xdr:rowOff>80965</xdr:rowOff>
    </xdr:from>
    <xdr:to>
      <xdr:col>8</xdr:col>
      <xdr:colOff>293214</xdr:colOff>
      <xdr:row>0</xdr:row>
      <xdr:rowOff>504827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/>
      </xdr:nvSpPr>
      <xdr:spPr>
        <a:xfrm>
          <a:off x="636288" y="80965"/>
          <a:ext cx="7383606" cy="423862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PrintsWithSheet="0"/>
  </xdr:twoCellAnchor>
  <xdr:twoCellAnchor editAs="absolute">
    <xdr:from>
      <xdr:col>13</xdr:col>
      <xdr:colOff>46989</xdr:colOff>
      <xdr:row>2</xdr:row>
      <xdr:rowOff>9525</xdr:rowOff>
    </xdr:from>
    <xdr:to>
      <xdr:col>19</xdr:col>
      <xdr:colOff>93979</xdr:colOff>
      <xdr:row>2</xdr:row>
      <xdr:rowOff>171450</xdr:rowOff>
    </xdr:to>
    <xdr:sp macro="" textlink="">
      <xdr:nvSpPr>
        <xdr:cNvPr id="72" name="TextBox 49">
          <a:hlinkClick xmlns:r="http://schemas.openxmlformats.org/officeDocument/2006/relationships" r:id="rId3" tooltip="Date"/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/>
      </xdr:nvSpPr>
      <xdr:spPr>
        <a:xfrm>
          <a:off x="9077324" y="676275"/>
          <a:ext cx="1628775" cy="16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0" i="0" u="none" strike="noStrike">
            <a:solidFill>
              <a:schemeClr val="tx2"/>
            </a:solidFill>
            <a:latin typeface="Calibri"/>
            <a:cs typeface="Calibri"/>
          </a:endParaRPr>
        </a:p>
      </xdr:txBody>
    </xdr:sp>
    <xdr:clientData/>
  </xdr:twoCellAnchor>
  <xdr:twoCellAnchor editAs="absolute">
    <xdr:from>
      <xdr:col>25</xdr:col>
      <xdr:colOff>229869</xdr:colOff>
      <xdr:row>2</xdr:row>
      <xdr:rowOff>1013</xdr:rowOff>
    </xdr:from>
    <xdr:to>
      <xdr:col>32</xdr:col>
      <xdr:colOff>10159</xdr:colOff>
      <xdr:row>2</xdr:row>
      <xdr:rowOff>161925</xdr:rowOff>
    </xdr:to>
    <xdr:sp macro="" textlink="">
      <xdr:nvSpPr>
        <xdr:cNvPr id="80" name="TextBox 49">
          <a:hlinkClick xmlns:r="http://schemas.openxmlformats.org/officeDocument/2006/relationships" r:id="rId4" tooltip="Date"/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 txBox="1"/>
      </xdr:nvSpPr>
      <xdr:spPr>
        <a:xfrm>
          <a:off x="12392024" y="666750"/>
          <a:ext cx="1628775" cy="16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0" i="0" u="none" strike="noStrike">
            <a:solidFill>
              <a:schemeClr val="tx2"/>
            </a:solidFill>
            <a:latin typeface="Calibri"/>
            <a:cs typeface="Calibri"/>
          </a:endParaRPr>
        </a:p>
      </xdr:txBody>
    </xdr:sp>
    <xdr:clientData/>
  </xdr:twoCellAnchor>
  <xdr:twoCellAnchor editAs="oneCell">
    <xdr:from>
      <xdr:col>2</xdr:col>
      <xdr:colOff>3448069</xdr:colOff>
      <xdr:row>11</xdr:row>
      <xdr:rowOff>114299</xdr:rowOff>
    </xdr:from>
    <xdr:to>
      <xdr:col>2</xdr:col>
      <xdr:colOff>3628069</xdr:colOff>
      <xdr:row>12</xdr:row>
      <xdr:rowOff>132374</xdr:rowOff>
    </xdr:to>
    <xdr:pic macro="[0]!Filter_aus">
      <xdr:nvPicPr>
        <xdr:cNvPr id="17" name="Grafik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19" y="2038349"/>
          <a:ext cx="180000" cy="180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0</xdr:rowOff>
        </xdr:from>
        <xdr:to>
          <xdr:col>3</xdr:col>
          <xdr:colOff>335280</xdr:colOff>
          <xdr:row>8</xdr:row>
          <xdr:rowOff>0</xdr:rowOff>
        </xdr:to>
        <xdr:sp macro="" textlink="">
          <xdr:nvSpPr>
            <xdr:cNvPr id="204255" name="Control 479" hidden="1">
              <a:extLst>
                <a:ext uri="{63B3BB69-23CF-44E3-9099-C40C66FF867C}">
                  <a14:compatExt spid="_x0000_s204255"/>
                </a:ext>
                <a:ext uri="{FF2B5EF4-FFF2-40B4-BE49-F238E27FC236}">
                  <a16:creationId xmlns:a16="http://schemas.microsoft.com/office/drawing/2014/main" id="{00000000-0008-0000-0400-0000DF1D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355288</xdr:colOff>
      <xdr:row>0</xdr:row>
      <xdr:rowOff>191689</xdr:rowOff>
    </xdr:from>
    <xdr:to>
      <xdr:col>5</xdr:col>
      <xdr:colOff>583835</xdr:colOff>
      <xdr:row>0</xdr:row>
      <xdr:rowOff>523160</xdr:rowOff>
    </xdr:to>
    <xdr:grpSp>
      <xdr:nvGrpSpPr>
        <xdr:cNvPr id="10" name="Gruppieren 9">
          <a:extLst>
            <a:ext uri="{FF2B5EF4-FFF2-40B4-BE49-F238E27FC236}">
              <a16:creationId xmlns:a16="http://schemas.microsoft.com/office/drawing/2014/main" id="{ACFCA39D-CCB3-1E77-A511-E13266BFECDC}"/>
            </a:ext>
          </a:extLst>
        </xdr:cNvPr>
        <xdr:cNvGrpSpPr/>
      </xdr:nvGrpSpPr>
      <xdr:grpSpPr>
        <a:xfrm>
          <a:off x="621988" y="191689"/>
          <a:ext cx="5814007" cy="331471"/>
          <a:chOff x="621988" y="191689"/>
          <a:chExt cx="7269427" cy="331471"/>
        </a:xfrm>
      </xdr:grpSpPr>
      <xdr:sp macro="" textlink="">
        <xdr:nvSpPr>
          <xdr:cNvPr id="75" name="Rechteck: obere Ecken abgerundet 13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00000000-0008-0000-0600-00004B000000}"/>
              </a:ext>
            </a:extLst>
          </xdr:cNvPr>
          <xdr:cNvSpPr/>
        </xdr:nvSpPr>
        <xdr:spPr>
          <a:xfrm>
            <a:off x="621988" y="191689"/>
            <a:ext cx="1413315" cy="33147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Team</a:t>
            </a:r>
          </a:p>
        </xdr:txBody>
      </xdr:sp>
      <xdr:sp macro="" textlink="' '!A43">
        <xdr:nvSpPr>
          <xdr:cNvPr id="76" name="Rechteck: obere Ecken abgerundet 14">
            <a:hlinkClick xmlns:r="http://schemas.openxmlformats.org/officeDocument/2006/relationships" r:id="rId7" tooltip="Go to"/>
            <a:extLst>
              <a:ext uri="{FF2B5EF4-FFF2-40B4-BE49-F238E27FC236}">
                <a16:creationId xmlns:a16="http://schemas.microsoft.com/office/drawing/2014/main" id="{00000000-0008-0000-0600-00004C000000}"/>
              </a:ext>
            </a:extLst>
          </xdr:cNvPr>
          <xdr:cNvSpPr/>
        </xdr:nvSpPr>
        <xdr:spPr>
          <a:xfrm>
            <a:off x="2086016" y="191689"/>
            <a:ext cx="1413315" cy="33147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3C197A3B-565C-473A-93F8-801F1709354A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Mandat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8">
        <xdr:nvSpPr>
          <xdr:cNvPr id="77" name="Rechteck: obere Ecken abgerundet 15">
            <a:hlinkClick xmlns:r="http://schemas.openxmlformats.org/officeDocument/2006/relationships" r:id="rId8" tooltip="Go to"/>
            <a:extLst>
              <a:ext uri="{FF2B5EF4-FFF2-40B4-BE49-F238E27FC236}">
                <a16:creationId xmlns:a16="http://schemas.microsoft.com/office/drawing/2014/main" id="{00000000-0008-0000-0600-00004D000000}"/>
              </a:ext>
            </a:extLst>
          </xdr:cNvPr>
          <xdr:cNvSpPr/>
        </xdr:nvSpPr>
        <xdr:spPr>
          <a:xfrm>
            <a:off x="3558652" y="191689"/>
            <a:ext cx="1413315" cy="331471"/>
          </a:xfrm>
          <a:prstGeom prst="round2Same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43347A05-79B5-40E9-AD88-A44D575072DF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Planification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45">
        <xdr:nvSpPr>
          <xdr:cNvPr id="78" name="Rechteck: obere Ecken abgerundet 21">
            <a:hlinkClick xmlns:r="http://schemas.openxmlformats.org/officeDocument/2006/relationships" r:id="rId9" tooltip="Go to"/>
            <a:extLst>
              <a:ext uri="{FF2B5EF4-FFF2-40B4-BE49-F238E27FC236}">
                <a16:creationId xmlns:a16="http://schemas.microsoft.com/office/drawing/2014/main" id="{00000000-0008-0000-0600-00004E000000}"/>
              </a:ext>
            </a:extLst>
          </xdr:cNvPr>
          <xdr:cNvSpPr/>
        </xdr:nvSpPr>
        <xdr:spPr>
          <a:xfrm>
            <a:off x="5022680" y="191689"/>
            <a:ext cx="1413315" cy="33147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BD043FEF-55CE-4864-AED4-B0A6E1416D39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Suivi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absolute">
    <xdr:from>
      <xdr:col>9</xdr:col>
      <xdr:colOff>220980</xdr:colOff>
      <xdr:row>0</xdr:row>
      <xdr:rowOff>295275</xdr:rowOff>
    </xdr:from>
    <xdr:to>
      <xdr:col>10</xdr:col>
      <xdr:colOff>412830</xdr:colOff>
      <xdr:row>0</xdr:row>
      <xdr:rowOff>472627</xdr:rowOff>
    </xdr:to>
    <xdr:grpSp>
      <xdr:nvGrpSpPr>
        <xdr:cNvPr id="13" name="Gruppieren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GrpSpPr/>
      </xdr:nvGrpSpPr>
      <xdr:grpSpPr>
        <a:xfrm>
          <a:off x="8252460" y="295275"/>
          <a:ext cx="633810" cy="177352"/>
          <a:chOff x="7781925" y="342900"/>
          <a:chExt cx="642700" cy="177352"/>
        </a:xfrm>
      </xdr:grpSpPr>
      <xdr:grpSp>
        <xdr:nvGrpSpPr>
          <xdr:cNvPr id="173" name="Gruppieren 172">
            <a:hlinkClick xmlns:r="http://schemas.openxmlformats.org/officeDocument/2006/relationships" r:id="rId10" tooltip="Help"/>
            <a:extLst>
              <a:ext uri="{FF2B5EF4-FFF2-40B4-BE49-F238E27FC236}">
                <a16:creationId xmlns:a16="http://schemas.microsoft.com/office/drawing/2014/main" id="{00000000-0008-0000-0600-0000AD000000}"/>
              </a:ext>
            </a:extLst>
          </xdr:cNvPr>
          <xdr:cNvGrpSpPr/>
        </xdr:nvGrpSpPr>
        <xdr:grpSpPr>
          <a:xfrm>
            <a:off x="8251825" y="347452"/>
            <a:ext cx="172800" cy="172800"/>
            <a:chOff x="8105775" y="571500"/>
            <a:chExt cx="172800" cy="172800"/>
          </a:xfrm>
        </xdr:grpSpPr>
        <xdr:sp macro="" textlink="">
          <xdr:nvSpPr>
            <xdr:cNvPr id="174" name="Rechteck 173">
              <a:extLst>
                <a:ext uri="{FF2B5EF4-FFF2-40B4-BE49-F238E27FC236}">
                  <a16:creationId xmlns:a16="http://schemas.microsoft.com/office/drawing/2014/main" id="{00000000-0008-0000-0600-0000AE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75" name="Textfeld 174">
              <a:extLst>
                <a:ext uri="{FF2B5EF4-FFF2-40B4-BE49-F238E27FC236}">
                  <a16:creationId xmlns:a16="http://schemas.microsoft.com/office/drawing/2014/main" id="{00000000-0008-0000-0600-0000AF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xdr:sp macro="[0]!Register_ein" textlink="">
        <xdr:nvSpPr>
          <xdr:cNvPr id="83" name="Rechteck 78">
            <a:extLst>
              <a:ext uri="{FF2B5EF4-FFF2-40B4-BE49-F238E27FC236}">
                <a16:creationId xmlns:a16="http://schemas.microsoft.com/office/drawing/2014/main" id="{00000000-0008-0000-0600-000053000000}"/>
              </a:ext>
            </a:extLst>
          </xdr:cNvPr>
          <xdr:cNvSpPr>
            <a:spLocks noChangeAspect="1"/>
          </xdr:cNvSpPr>
        </xdr:nvSpPr>
        <xdr:spPr>
          <a:xfrm>
            <a:off x="7781925" y="342900"/>
            <a:ext cx="177114" cy="174734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6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+</a:t>
            </a:r>
          </a:p>
        </xdr:txBody>
      </xdr:sp>
      <xdr:sp macro="[0]!Register_aus" textlink="">
        <xdr:nvSpPr>
          <xdr:cNvPr id="84" name="Rechteck 84">
            <a:extLst>
              <a:ext uri="{FF2B5EF4-FFF2-40B4-BE49-F238E27FC236}">
                <a16:creationId xmlns:a16="http://schemas.microsoft.com/office/drawing/2014/main" id="{00000000-0008-0000-0600-000054000000}"/>
              </a:ext>
            </a:extLst>
          </xdr:cNvPr>
          <xdr:cNvSpPr>
            <a:spLocks noChangeAspect="1"/>
          </xdr:cNvSpPr>
        </xdr:nvSpPr>
        <xdr:spPr>
          <a:xfrm>
            <a:off x="7987389" y="342900"/>
            <a:ext cx="189555" cy="174734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8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-</a:t>
            </a:r>
          </a:p>
        </xdr:txBody>
      </xdr:sp>
    </xdr:grpSp>
    <xdr:clientData fPrintsWithSheet="0"/>
  </xdr:twoCellAnchor>
  <xdr:twoCellAnchor editAs="oneCell">
    <xdr:from>
      <xdr:col>5</xdr:col>
      <xdr:colOff>30902</xdr:colOff>
      <xdr:row>12</xdr:row>
      <xdr:rowOff>92081</xdr:rowOff>
    </xdr:from>
    <xdr:to>
      <xdr:col>5</xdr:col>
      <xdr:colOff>138902</xdr:colOff>
      <xdr:row>12</xdr:row>
      <xdr:rowOff>200081</xdr:rowOff>
    </xdr:to>
    <xdr:sp macro="[0]!Dauer_einblenden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5247671" y="2187581"/>
          <a:ext cx="108000" cy="108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fr-CH" sz="1200">
              <a:solidFill>
                <a:schemeClr val="bg1"/>
              </a:solidFill>
            </a:rPr>
            <a:t>+</a:t>
          </a:r>
        </a:p>
      </xdr:txBody>
    </xdr:sp>
    <xdr:clientData/>
  </xdr:twoCellAnchor>
  <xdr:twoCellAnchor editAs="oneCell">
    <xdr:from>
      <xdr:col>3</xdr:col>
      <xdr:colOff>515751</xdr:colOff>
      <xdr:row>12</xdr:row>
      <xdr:rowOff>93021</xdr:rowOff>
    </xdr:from>
    <xdr:to>
      <xdr:col>3</xdr:col>
      <xdr:colOff>623751</xdr:colOff>
      <xdr:row>12</xdr:row>
      <xdr:rowOff>201021</xdr:rowOff>
    </xdr:to>
    <xdr:sp macro="[0]!Dauer_ausblenden" textlink="">
      <xdr:nvSpPr>
        <xdr:cNvPr id="98" name="Textfeld 9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 txBox="1"/>
      </xdr:nvSpPr>
      <xdr:spPr>
        <a:xfrm>
          <a:off x="4684770" y="2188521"/>
          <a:ext cx="108000" cy="108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fr-CH" sz="1200">
              <a:solidFill>
                <a:schemeClr val="bg1"/>
              </a:solidFill>
            </a:rPr>
            <a:t>-</a:t>
          </a:r>
        </a:p>
      </xdr:txBody>
    </xdr:sp>
    <xdr:clientData/>
  </xdr:twoCellAnchor>
  <xdr:twoCellAnchor>
    <xdr:from>
      <xdr:col>0</xdr:col>
      <xdr:colOff>84907</xdr:colOff>
      <xdr:row>0</xdr:row>
      <xdr:rowOff>214324</xdr:rowOff>
    </xdr:from>
    <xdr:to>
      <xdr:col>1</xdr:col>
      <xdr:colOff>150355</xdr:colOff>
      <xdr:row>0</xdr:row>
      <xdr:rowOff>534208</xdr:rowOff>
    </xdr:to>
    <xdr:grpSp>
      <xdr:nvGrpSpPr>
        <xdr:cNvPr id="176" name="Gruppieren 175">
          <a:hlinkClick xmlns:r="http://schemas.openxmlformats.org/officeDocument/2006/relationships" r:id="rId11" tooltip="Home"/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GrpSpPr/>
      </xdr:nvGrpSpPr>
      <xdr:grpSpPr>
        <a:xfrm>
          <a:off x="84907" y="214324"/>
          <a:ext cx="332148" cy="319884"/>
          <a:chOff x="12729063" y="1298331"/>
          <a:chExt cx="324000" cy="323267"/>
        </a:xfrm>
      </xdr:grpSpPr>
      <xdr:sp macro="" textlink="">
        <xdr:nvSpPr>
          <xdr:cNvPr id="177" name="Rechteck 176">
            <a:extLst>
              <a:ext uri="{FF2B5EF4-FFF2-40B4-BE49-F238E27FC236}">
                <a16:creationId xmlns:a16="http://schemas.microsoft.com/office/drawing/2014/main" id="{00000000-0008-0000-0600-0000B1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78" name="Grafik 177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600-0000B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0</xdr:col>
      <xdr:colOff>82034</xdr:colOff>
      <xdr:row>3</xdr:row>
      <xdr:rowOff>274800</xdr:rowOff>
    </xdr:from>
    <xdr:to>
      <xdr:col>1</xdr:col>
      <xdr:colOff>148858</xdr:colOff>
      <xdr:row>4</xdr:row>
      <xdr:rowOff>287133</xdr:rowOff>
    </xdr:to>
    <xdr:grpSp>
      <xdr:nvGrpSpPr>
        <xdr:cNvPr id="4" name="Gruppieren 3">
          <a:hlinkClick xmlns:r="http://schemas.openxmlformats.org/officeDocument/2006/relationships" r:id="rId13" tooltip="Calendar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pSpPr/>
      </xdr:nvGrpSpPr>
      <xdr:grpSpPr>
        <a:xfrm>
          <a:off x="82034" y="1128240"/>
          <a:ext cx="333524" cy="317133"/>
          <a:chOff x="85725" y="1826079"/>
          <a:chExt cx="322639" cy="325465"/>
        </a:xfrm>
      </xdr:grpSpPr>
      <xdr:sp macro="" textlink="">
        <xdr:nvSpPr>
          <xdr:cNvPr id="73" name="Rechteck 72">
            <a:extLst>
              <a:ext uri="{FF2B5EF4-FFF2-40B4-BE49-F238E27FC236}">
                <a16:creationId xmlns:a16="http://schemas.microsoft.com/office/drawing/2014/main" id="{00000000-0008-0000-0600-000049000000}"/>
              </a:ext>
            </a:extLst>
          </xdr:cNvPr>
          <xdr:cNvSpPr>
            <a:spLocks noChangeAspect="1"/>
          </xdr:cNvSpPr>
        </xdr:nvSpPr>
        <xdr:spPr>
          <a:xfrm>
            <a:off x="85725" y="1826079"/>
            <a:ext cx="322639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grpSp>
        <xdr:nvGrpSpPr>
          <xdr:cNvPr id="3" name="Gruppieren 2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GrpSpPr/>
        </xdr:nvGrpSpPr>
        <xdr:grpSpPr>
          <a:xfrm>
            <a:off x="139231" y="1875642"/>
            <a:ext cx="215627" cy="226339"/>
            <a:chOff x="142352" y="1872298"/>
            <a:chExt cx="215627" cy="226339"/>
          </a:xfrm>
        </xdr:grpSpPr>
        <xdr:sp macro="" textlink="">
          <xdr:nvSpPr>
            <xdr:cNvPr id="6" name="Textfeld 5">
              <a:extLst>
                <a:ext uri="{FF2B5EF4-FFF2-40B4-BE49-F238E27FC236}">
                  <a16:creationId xmlns:a16="http://schemas.microsoft.com/office/drawing/2014/main" id="{00000000-0008-0000-0600-000006000000}"/>
                </a:ext>
              </a:extLst>
            </xdr:cNvPr>
            <xdr:cNvSpPr txBox="1"/>
          </xdr:nvSpPr>
          <xdr:spPr>
            <a:xfrm>
              <a:off x="142352" y="1930477"/>
              <a:ext cx="215520" cy="168160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  <a:effectLst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noAutofit/>
            </a:bodyPr>
            <a:lstStyle/>
            <a:p>
              <a:pPr algn="ctr"/>
              <a:r>
                <a:rPr lang="de-CH" sz="1100">
                  <a:solidFill>
                    <a:schemeClr val="bg1"/>
                  </a:solidFill>
                </a:rPr>
                <a:t>27</a:t>
              </a:r>
            </a:p>
          </xdr:txBody>
        </xdr:sp>
        <xdr:sp macro="" textlink="">
          <xdr:nvSpPr>
            <xdr:cNvPr id="81" name="Textfeld 80">
              <a:extLst>
                <a:ext uri="{FF2B5EF4-FFF2-40B4-BE49-F238E27FC236}">
                  <a16:creationId xmlns:a16="http://schemas.microsoft.com/office/drawing/2014/main" id="{00000000-0008-0000-0600-000051000000}"/>
                </a:ext>
              </a:extLst>
            </xdr:cNvPr>
            <xdr:cNvSpPr txBox="1"/>
          </xdr:nvSpPr>
          <xdr:spPr>
            <a:xfrm>
              <a:off x="142352" y="1872298"/>
              <a:ext cx="215627" cy="42477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  <a:effectLst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noAutofit/>
            </a:bodyPr>
            <a:lstStyle/>
            <a:p>
              <a:pPr algn="ctr"/>
              <a:endParaRPr lang="de-CH" sz="1100">
                <a:solidFill>
                  <a:schemeClr val="bg1"/>
                </a:solidFill>
              </a:endParaRPr>
            </a:p>
          </xdr:txBody>
        </xdr:sp>
      </xdr:grpSp>
    </xdr:grpSp>
    <xdr:clientData fPrintsWithSheet="0"/>
  </xdr:twoCellAnchor>
  <xdr:twoCellAnchor editAs="oneCell">
    <xdr:from>
      <xdr:col>3</xdr:col>
      <xdr:colOff>66675</xdr:colOff>
      <xdr:row>9</xdr:row>
      <xdr:rowOff>66675</xdr:rowOff>
    </xdr:from>
    <xdr:to>
      <xdr:col>3</xdr:col>
      <xdr:colOff>419856</xdr:colOff>
      <xdr:row>10</xdr:row>
      <xdr:rowOff>209550</xdr:rowOff>
    </xdr:to>
    <xdr:grpSp>
      <xdr:nvGrpSpPr>
        <xdr:cNvPr id="82" name="Gruppieren 81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GrpSpPr/>
      </xdr:nvGrpSpPr>
      <xdr:grpSpPr>
        <a:xfrm>
          <a:off x="4844415" y="1529715"/>
          <a:ext cx="353181" cy="318135"/>
          <a:chOff x="551695" y="1552575"/>
          <a:chExt cx="353180" cy="323850"/>
        </a:xfrm>
      </xdr:grpSpPr>
      <xdr:sp macro="[0]!Sortieren_Detailplan_Beginn" textlink="">
        <xdr:nvSpPr>
          <xdr:cNvPr id="99" name="Textfeld 98">
            <a:extLst>
              <a:ext uri="{FF2B5EF4-FFF2-40B4-BE49-F238E27FC236}">
                <a16:creationId xmlns:a16="http://schemas.microsoft.com/office/drawing/2014/main" id="{00000000-0008-0000-0600-000063000000}"/>
              </a:ext>
            </a:extLst>
          </xdr:cNvPr>
          <xdr:cNvSpPr txBox="1"/>
        </xdr:nvSpPr>
        <xdr:spPr>
          <a:xfrm>
            <a:off x="551695" y="1552575"/>
            <a:ext cx="353180" cy="3238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vert="wordArtVert" wrap="none" lIns="0" tIns="0" rIns="0" bIns="0" rtlCol="0" anchor="ctr" anchorCtr="0">
            <a:noAutofit/>
          </a:bodyPr>
          <a:lstStyle/>
          <a:p>
            <a:r>
              <a:rPr lang="fr-CH" sz="1100" kern="0" spc="-700" baseline="0">
                <a:solidFill>
                  <a:sysClr val="windowText" lastClr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AZ</a:t>
            </a:r>
          </a:p>
        </xdr:txBody>
      </xdr:sp>
      <xdr:cxnSp macro="[0]!Sortieren_Detailplan_Beginn">
        <xdr:nvCxnSpPr>
          <xdr:cNvPr id="100" name="Gerade Verbindung mit Pfeil 99">
            <a:extLst>
              <a:ext uri="{FF2B5EF4-FFF2-40B4-BE49-F238E27FC236}">
                <a16:creationId xmlns:a16="http://schemas.microsoft.com/office/drawing/2014/main" id="{00000000-0008-0000-0600-000064000000}"/>
              </a:ext>
            </a:extLst>
          </xdr:cNvPr>
          <xdr:cNvCxnSpPr/>
        </xdr:nvCxnSpPr>
        <xdr:spPr>
          <a:xfrm>
            <a:off x="848469" y="1619250"/>
            <a:ext cx="0" cy="219075"/>
          </a:xfrm>
          <a:prstGeom prst="straightConnector1">
            <a:avLst/>
          </a:prstGeom>
          <a:ln w="3175">
            <a:solidFill>
              <a:sysClr val="windowText" lastClr="000000"/>
            </a:solidFill>
            <a:headEnd type="none" w="med" len="med"/>
            <a:tailEnd type="triangle" w="med" len="med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 fPrintsWithSheet="0"/>
  </xdr:twoCellAnchor>
  <xdr:twoCellAnchor editAs="oneCell">
    <xdr:from>
      <xdr:col>5</xdr:col>
      <xdr:colOff>104775</xdr:colOff>
      <xdr:row>9</xdr:row>
      <xdr:rowOff>66675</xdr:rowOff>
    </xdr:from>
    <xdr:to>
      <xdr:col>5</xdr:col>
      <xdr:colOff>457956</xdr:colOff>
      <xdr:row>10</xdr:row>
      <xdr:rowOff>209550</xdr:rowOff>
    </xdr:to>
    <xdr:grpSp>
      <xdr:nvGrpSpPr>
        <xdr:cNvPr id="102" name="Gruppieren 101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GrpSpPr/>
      </xdr:nvGrpSpPr>
      <xdr:grpSpPr>
        <a:xfrm>
          <a:off x="5956935" y="1529715"/>
          <a:ext cx="353181" cy="318135"/>
          <a:chOff x="551695" y="1552575"/>
          <a:chExt cx="353180" cy="323850"/>
        </a:xfrm>
      </xdr:grpSpPr>
      <xdr:sp macro="[0]!Sortieren_Detailplan_Enddatum" textlink="">
        <xdr:nvSpPr>
          <xdr:cNvPr id="103" name="Textfeld 102">
            <a:extLst>
              <a:ext uri="{FF2B5EF4-FFF2-40B4-BE49-F238E27FC236}">
                <a16:creationId xmlns:a16="http://schemas.microsoft.com/office/drawing/2014/main" id="{00000000-0008-0000-0600-000067000000}"/>
              </a:ext>
            </a:extLst>
          </xdr:cNvPr>
          <xdr:cNvSpPr txBox="1"/>
        </xdr:nvSpPr>
        <xdr:spPr>
          <a:xfrm>
            <a:off x="551695" y="1552575"/>
            <a:ext cx="353180" cy="3238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vert="wordArtVert" wrap="none" lIns="0" tIns="0" rIns="0" bIns="0" rtlCol="0" anchor="ctr" anchorCtr="0">
            <a:noAutofit/>
          </a:bodyPr>
          <a:lstStyle/>
          <a:p>
            <a:r>
              <a:rPr lang="fr-CH" sz="1100" kern="0" spc="-700" baseline="0">
                <a:solidFill>
                  <a:sysClr val="windowText" lastClr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AZ</a:t>
            </a:r>
          </a:p>
        </xdr:txBody>
      </xdr:sp>
      <xdr:cxnSp macro="[0]!Sortieren_Detailplan_Enddatum">
        <xdr:nvCxnSpPr>
          <xdr:cNvPr id="104" name="Gerade Verbindung mit Pfeil 103">
            <a:extLst>
              <a:ext uri="{FF2B5EF4-FFF2-40B4-BE49-F238E27FC236}">
                <a16:creationId xmlns:a16="http://schemas.microsoft.com/office/drawing/2014/main" id="{00000000-0008-0000-0600-000068000000}"/>
              </a:ext>
            </a:extLst>
          </xdr:cNvPr>
          <xdr:cNvCxnSpPr/>
        </xdr:nvCxnSpPr>
        <xdr:spPr>
          <a:xfrm>
            <a:off x="848469" y="1619250"/>
            <a:ext cx="0" cy="219075"/>
          </a:xfrm>
          <a:prstGeom prst="straightConnector1">
            <a:avLst/>
          </a:prstGeom>
          <a:ln w="3175">
            <a:solidFill>
              <a:sysClr val="windowText" lastClr="000000"/>
            </a:solidFill>
            <a:headEnd type="none" w="med" len="med"/>
            <a:tailEnd type="triangle" w="med" len="med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 fPrintsWithSheet="0"/>
  </xdr:twoCellAnchor>
  <xdr:twoCellAnchor editAs="oneCell">
    <xdr:from>
      <xdr:col>6</xdr:col>
      <xdr:colOff>57150</xdr:colOff>
      <xdr:row>9</xdr:row>
      <xdr:rowOff>66675</xdr:rowOff>
    </xdr:from>
    <xdr:to>
      <xdr:col>6</xdr:col>
      <xdr:colOff>410331</xdr:colOff>
      <xdr:row>10</xdr:row>
      <xdr:rowOff>209550</xdr:rowOff>
    </xdr:to>
    <xdr:grpSp>
      <xdr:nvGrpSpPr>
        <xdr:cNvPr id="105" name="Gruppieren 104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GrpSpPr/>
      </xdr:nvGrpSpPr>
      <xdr:grpSpPr>
        <a:xfrm>
          <a:off x="6564630" y="1529715"/>
          <a:ext cx="353181" cy="318135"/>
          <a:chOff x="551695" y="1552575"/>
          <a:chExt cx="353180" cy="323850"/>
        </a:xfrm>
      </xdr:grpSpPr>
      <xdr:sp macro="[0]!Sortieren_Detailplan_Wer" textlink="">
        <xdr:nvSpPr>
          <xdr:cNvPr id="106" name="Textfeld 105">
            <a:extLst>
              <a:ext uri="{FF2B5EF4-FFF2-40B4-BE49-F238E27FC236}">
                <a16:creationId xmlns:a16="http://schemas.microsoft.com/office/drawing/2014/main" id="{00000000-0008-0000-0600-00006A000000}"/>
              </a:ext>
            </a:extLst>
          </xdr:cNvPr>
          <xdr:cNvSpPr txBox="1"/>
        </xdr:nvSpPr>
        <xdr:spPr>
          <a:xfrm>
            <a:off x="551695" y="1552575"/>
            <a:ext cx="353180" cy="3238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vert="wordArtVert" wrap="none" lIns="0" tIns="0" rIns="0" bIns="0" rtlCol="0" anchor="ctr" anchorCtr="0">
            <a:noAutofit/>
          </a:bodyPr>
          <a:lstStyle/>
          <a:p>
            <a:r>
              <a:rPr lang="fr-CH" sz="1100" kern="0" spc="-700" baseline="0">
                <a:solidFill>
                  <a:sysClr val="windowText" lastClr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AZ</a:t>
            </a:r>
          </a:p>
        </xdr:txBody>
      </xdr:sp>
      <xdr:cxnSp macro="[0]!Sortieren_Detailplan_Wer">
        <xdr:nvCxnSpPr>
          <xdr:cNvPr id="107" name="Gerade Verbindung mit Pfeil 106">
            <a:extLst>
              <a:ext uri="{FF2B5EF4-FFF2-40B4-BE49-F238E27FC236}">
                <a16:creationId xmlns:a16="http://schemas.microsoft.com/office/drawing/2014/main" id="{00000000-0008-0000-0600-00006B000000}"/>
              </a:ext>
            </a:extLst>
          </xdr:cNvPr>
          <xdr:cNvCxnSpPr/>
        </xdr:nvCxnSpPr>
        <xdr:spPr>
          <a:xfrm>
            <a:off x="848469" y="1619250"/>
            <a:ext cx="0" cy="219075"/>
          </a:xfrm>
          <a:prstGeom prst="straightConnector1">
            <a:avLst/>
          </a:prstGeom>
          <a:ln w="3175">
            <a:solidFill>
              <a:sysClr val="windowText" lastClr="000000"/>
            </a:solidFill>
            <a:headEnd type="none" w="med" len="med"/>
            <a:tailEnd type="triangle" w="med" len="med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 fPrintsWithSheet="0"/>
  </xdr:twoCellAnchor>
  <xdr:twoCellAnchor editAs="oneCell">
    <xdr:from>
      <xdr:col>7</xdr:col>
      <xdr:colOff>489585</xdr:colOff>
      <xdr:row>9</xdr:row>
      <xdr:rowOff>59055</xdr:rowOff>
    </xdr:from>
    <xdr:to>
      <xdr:col>8</xdr:col>
      <xdr:colOff>252216</xdr:colOff>
      <xdr:row>10</xdr:row>
      <xdr:rowOff>201930</xdr:rowOff>
    </xdr:to>
    <xdr:grpSp>
      <xdr:nvGrpSpPr>
        <xdr:cNvPr id="108" name="Gruppieren 10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GrpSpPr/>
      </xdr:nvGrpSpPr>
      <xdr:grpSpPr>
        <a:xfrm>
          <a:off x="7606665" y="1522095"/>
          <a:ext cx="372231" cy="318135"/>
          <a:chOff x="551695" y="1552575"/>
          <a:chExt cx="353180" cy="323850"/>
        </a:xfrm>
      </xdr:grpSpPr>
      <xdr:sp macro="[0]!Sortieren_Detailplan_Meilenstein" textlink="">
        <xdr:nvSpPr>
          <xdr:cNvPr id="109" name="Textfeld 108">
            <a:extLst>
              <a:ext uri="{FF2B5EF4-FFF2-40B4-BE49-F238E27FC236}">
                <a16:creationId xmlns:a16="http://schemas.microsoft.com/office/drawing/2014/main" id="{00000000-0008-0000-0600-00006D000000}"/>
              </a:ext>
            </a:extLst>
          </xdr:cNvPr>
          <xdr:cNvSpPr txBox="1"/>
        </xdr:nvSpPr>
        <xdr:spPr>
          <a:xfrm>
            <a:off x="551695" y="1552575"/>
            <a:ext cx="353180" cy="3238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vert="wordArtVert" wrap="none" lIns="0" tIns="0" rIns="0" bIns="0" rtlCol="0" anchor="ctr" anchorCtr="0">
            <a:noAutofit/>
          </a:bodyPr>
          <a:lstStyle/>
          <a:p>
            <a:r>
              <a:rPr lang="fr-CH" sz="1100" kern="0" spc="-700" baseline="0">
                <a:solidFill>
                  <a:sysClr val="windowText" lastClr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AZ</a:t>
            </a:r>
          </a:p>
        </xdr:txBody>
      </xdr:sp>
      <xdr:cxnSp macro="[0]!Sortieren_Detailplan_Meilenstein">
        <xdr:nvCxnSpPr>
          <xdr:cNvPr id="110" name="Gerade Verbindung mit Pfeil 109">
            <a:extLst>
              <a:ext uri="{FF2B5EF4-FFF2-40B4-BE49-F238E27FC236}">
                <a16:creationId xmlns:a16="http://schemas.microsoft.com/office/drawing/2014/main" id="{00000000-0008-0000-0600-00006E000000}"/>
              </a:ext>
            </a:extLst>
          </xdr:cNvPr>
          <xdr:cNvCxnSpPr/>
        </xdr:nvCxnSpPr>
        <xdr:spPr>
          <a:xfrm>
            <a:off x="848469" y="1619250"/>
            <a:ext cx="0" cy="219075"/>
          </a:xfrm>
          <a:prstGeom prst="straightConnector1">
            <a:avLst/>
          </a:prstGeom>
          <a:ln w="3175">
            <a:solidFill>
              <a:sysClr val="windowText" lastClr="000000"/>
            </a:solidFill>
            <a:headEnd type="none" w="med" len="med"/>
            <a:tailEnd type="triangle" w="med" len="med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 fPrintsWithSheet="0"/>
  </xdr:twoCellAnchor>
  <xdr:twoCellAnchor editAs="oneCell">
    <xdr:from>
      <xdr:col>9</xdr:col>
      <xdr:colOff>0</xdr:colOff>
      <xdr:row>9</xdr:row>
      <xdr:rowOff>66675</xdr:rowOff>
    </xdr:from>
    <xdr:to>
      <xdr:col>9</xdr:col>
      <xdr:colOff>353181</xdr:colOff>
      <xdr:row>10</xdr:row>
      <xdr:rowOff>209550</xdr:rowOff>
    </xdr:to>
    <xdr:grpSp>
      <xdr:nvGrpSpPr>
        <xdr:cNvPr id="111" name="Gruppieren 110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GrpSpPr/>
      </xdr:nvGrpSpPr>
      <xdr:grpSpPr>
        <a:xfrm>
          <a:off x="8031480" y="1529715"/>
          <a:ext cx="353181" cy="318135"/>
          <a:chOff x="551695" y="1552575"/>
          <a:chExt cx="353180" cy="323850"/>
        </a:xfrm>
      </xdr:grpSpPr>
      <xdr:sp macro="[0]!Sortieren_Detailplan_erledigt" textlink="">
        <xdr:nvSpPr>
          <xdr:cNvPr id="112" name="Textfeld 111">
            <a:extLst>
              <a:ext uri="{FF2B5EF4-FFF2-40B4-BE49-F238E27FC236}">
                <a16:creationId xmlns:a16="http://schemas.microsoft.com/office/drawing/2014/main" id="{00000000-0008-0000-0600-000070000000}"/>
              </a:ext>
            </a:extLst>
          </xdr:cNvPr>
          <xdr:cNvSpPr txBox="1"/>
        </xdr:nvSpPr>
        <xdr:spPr>
          <a:xfrm>
            <a:off x="551695" y="1552575"/>
            <a:ext cx="353180" cy="3238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vert="wordArtVert" wrap="none" lIns="0" tIns="0" rIns="0" bIns="0" rtlCol="0" anchor="ctr" anchorCtr="0">
            <a:noAutofit/>
          </a:bodyPr>
          <a:lstStyle/>
          <a:p>
            <a:r>
              <a:rPr lang="fr-CH" sz="1100" kern="0" spc="-700" baseline="0">
                <a:solidFill>
                  <a:sysClr val="windowText" lastClr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AZ</a:t>
            </a:r>
          </a:p>
        </xdr:txBody>
      </xdr:sp>
      <xdr:cxnSp macro="[0]!Sortieren_Detailplan_erledigt">
        <xdr:nvCxnSpPr>
          <xdr:cNvPr id="113" name="Gerade Verbindung mit Pfeil 112">
            <a:extLst>
              <a:ext uri="{FF2B5EF4-FFF2-40B4-BE49-F238E27FC236}">
                <a16:creationId xmlns:a16="http://schemas.microsoft.com/office/drawing/2014/main" id="{00000000-0008-0000-0600-000071000000}"/>
              </a:ext>
            </a:extLst>
          </xdr:cNvPr>
          <xdr:cNvCxnSpPr/>
        </xdr:nvCxnSpPr>
        <xdr:spPr>
          <a:xfrm>
            <a:off x="848469" y="1619250"/>
            <a:ext cx="0" cy="219075"/>
          </a:xfrm>
          <a:prstGeom prst="straightConnector1">
            <a:avLst/>
          </a:prstGeom>
          <a:ln w="3175">
            <a:solidFill>
              <a:sysClr val="windowText" lastClr="000000"/>
            </a:solidFill>
            <a:headEnd type="none" w="med" len="med"/>
            <a:tailEnd type="triangle" w="med" len="med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 fPrintsWithSheet="0"/>
  </xdr:twoCellAnchor>
  <xdr:twoCellAnchor editAs="oneCell">
    <xdr:from>
      <xdr:col>10</xdr:col>
      <xdr:colOff>19050</xdr:colOff>
      <xdr:row>9</xdr:row>
      <xdr:rowOff>66675</xdr:rowOff>
    </xdr:from>
    <xdr:to>
      <xdr:col>10</xdr:col>
      <xdr:colOff>372231</xdr:colOff>
      <xdr:row>10</xdr:row>
      <xdr:rowOff>209550</xdr:rowOff>
    </xdr:to>
    <xdr:grpSp>
      <xdr:nvGrpSpPr>
        <xdr:cNvPr id="114" name="Gruppieren 113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GrpSpPr/>
      </xdr:nvGrpSpPr>
      <xdr:grpSpPr>
        <a:xfrm>
          <a:off x="8492490" y="1529715"/>
          <a:ext cx="353181" cy="318135"/>
          <a:chOff x="551695" y="1552575"/>
          <a:chExt cx="353180" cy="323850"/>
        </a:xfrm>
      </xdr:grpSpPr>
      <xdr:sp macro="[0]!Sortieren_Detailplan_Zeit" textlink="">
        <xdr:nvSpPr>
          <xdr:cNvPr id="115" name="Textfeld 114">
            <a:extLst>
              <a:ext uri="{FF2B5EF4-FFF2-40B4-BE49-F238E27FC236}">
                <a16:creationId xmlns:a16="http://schemas.microsoft.com/office/drawing/2014/main" id="{00000000-0008-0000-0600-000073000000}"/>
              </a:ext>
            </a:extLst>
          </xdr:cNvPr>
          <xdr:cNvSpPr txBox="1"/>
        </xdr:nvSpPr>
        <xdr:spPr>
          <a:xfrm>
            <a:off x="551695" y="1552575"/>
            <a:ext cx="353180" cy="3238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vert="wordArtVert" wrap="none" lIns="0" tIns="0" rIns="0" bIns="0" rtlCol="0" anchor="ctr" anchorCtr="0">
            <a:noAutofit/>
          </a:bodyPr>
          <a:lstStyle/>
          <a:p>
            <a:r>
              <a:rPr lang="fr-CH" sz="1100" kern="0" spc="-700" baseline="0">
                <a:solidFill>
                  <a:sysClr val="windowText" lastClr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AZ</a:t>
            </a:r>
          </a:p>
        </xdr:txBody>
      </xdr:sp>
      <xdr:cxnSp macro="[0]!Sortieren_Detailplan_Zeit">
        <xdr:nvCxnSpPr>
          <xdr:cNvPr id="116" name="Gerade Verbindung mit Pfeil 115">
            <a:extLst>
              <a:ext uri="{FF2B5EF4-FFF2-40B4-BE49-F238E27FC236}">
                <a16:creationId xmlns:a16="http://schemas.microsoft.com/office/drawing/2014/main" id="{00000000-0008-0000-0600-000074000000}"/>
              </a:ext>
            </a:extLst>
          </xdr:cNvPr>
          <xdr:cNvCxnSpPr/>
        </xdr:nvCxnSpPr>
        <xdr:spPr>
          <a:xfrm>
            <a:off x="848469" y="1619250"/>
            <a:ext cx="0" cy="219075"/>
          </a:xfrm>
          <a:prstGeom prst="straightConnector1">
            <a:avLst/>
          </a:prstGeom>
          <a:ln w="3175">
            <a:solidFill>
              <a:sysClr val="windowText" lastClr="000000"/>
            </a:solidFill>
            <a:headEnd type="none" w="med" len="med"/>
            <a:tailEnd type="triangle" w="med" len="med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 fPrintsWithSheet="0"/>
  </xdr:twoCellAnchor>
  <xdr:twoCellAnchor editAs="oneCell">
    <xdr:from>
      <xdr:col>0</xdr:col>
      <xdr:colOff>238305</xdr:colOff>
      <xdr:row>11</xdr:row>
      <xdr:rowOff>28575</xdr:rowOff>
    </xdr:from>
    <xdr:to>
      <xdr:col>1</xdr:col>
      <xdr:colOff>334311</xdr:colOff>
      <xdr:row>12</xdr:row>
      <xdr:rowOff>190500</xdr:rowOff>
    </xdr:to>
    <xdr:grpSp>
      <xdr:nvGrpSpPr>
        <xdr:cNvPr id="16" name="Gruppieren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GrpSpPr/>
      </xdr:nvGrpSpPr>
      <xdr:grpSpPr>
        <a:xfrm>
          <a:off x="238305" y="1918335"/>
          <a:ext cx="362706" cy="321945"/>
          <a:chOff x="209550" y="1955141"/>
          <a:chExt cx="354798" cy="323670"/>
        </a:xfrm>
      </xdr:grpSpPr>
      <xdr:sp macro="[0]!Sortieren_Detailplan_Pfad" textlink="">
        <xdr:nvSpPr>
          <xdr:cNvPr id="119" name="Textfeld 118">
            <a:extLst>
              <a:ext uri="{FF2B5EF4-FFF2-40B4-BE49-F238E27FC236}">
                <a16:creationId xmlns:a16="http://schemas.microsoft.com/office/drawing/2014/main" id="{00000000-0008-0000-0600-000077000000}"/>
              </a:ext>
            </a:extLst>
          </xdr:cNvPr>
          <xdr:cNvSpPr txBox="1"/>
        </xdr:nvSpPr>
        <xdr:spPr>
          <a:xfrm>
            <a:off x="209550" y="1955141"/>
            <a:ext cx="354798" cy="3236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vert="wordArtVert" wrap="none" lIns="0" tIns="0" rIns="0" bIns="0" rtlCol="0" anchor="ctr" anchorCtr="0">
            <a:noAutofit/>
          </a:bodyPr>
          <a:lstStyle/>
          <a:p>
            <a:r>
              <a:rPr lang="fr-CH" sz="1100" kern="0" spc="-700" baseline="0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AZ</a:t>
            </a:r>
          </a:p>
        </xdr:txBody>
      </xdr:sp>
      <xdr:cxnSp macro="[0]!Sortieren_Detailplan_Pfad">
        <xdr:nvCxnSpPr>
          <xdr:cNvPr id="133" name="Gerade Verbindung mit Pfeil 132">
            <a:extLst>
              <a:ext uri="{FF2B5EF4-FFF2-40B4-BE49-F238E27FC236}">
                <a16:creationId xmlns:a16="http://schemas.microsoft.com/office/drawing/2014/main" id="{00000000-0008-0000-0600-000085000000}"/>
              </a:ext>
            </a:extLst>
          </xdr:cNvPr>
          <xdr:cNvCxnSpPr/>
        </xdr:nvCxnSpPr>
        <xdr:spPr>
          <a:xfrm>
            <a:off x="507684" y="2021779"/>
            <a:ext cx="0" cy="218953"/>
          </a:xfrm>
          <a:prstGeom prst="straightConnector1">
            <a:avLst/>
          </a:prstGeom>
          <a:ln w="3175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4</xdr:col>
      <xdr:colOff>38100</xdr:colOff>
      <xdr:row>9</xdr:row>
      <xdr:rowOff>66675</xdr:rowOff>
    </xdr:from>
    <xdr:to>
      <xdr:col>4</xdr:col>
      <xdr:colOff>391281</xdr:colOff>
      <xdr:row>10</xdr:row>
      <xdr:rowOff>209550</xdr:rowOff>
    </xdr:to>
    <xdr:grpSp>
      <xdr:nvGrpSpPr>
        <xdr:cNvPr id="85" name="Gruppieren 84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GrpSpPr/>
      </xdr:nvGrpSpPr>
      <xdr:grpSpPr>
        <a:xfrm>
          <a:off x="5471160" y="1529715"/>
          <a:ext cx="353181" cy="318135"/>
          <a:chOff x="551695" y="1552575"/>
          <a:chExt cx="353180" cy="323850"/>
        </a:xfrm>
      </xdr:grpSpPr>
      <xdr:sp macro="[0]!Sortieren_Detailplan_AnzTage" textlink="">
        <xdr:nvSpPr>
          <xdr:cNvPr id="86" name="Textfeld 85">
            <a:extLst>
              <a:ext uri="{FF2B5EF4-FFF2-40B4-BE49-F238E27FC236}">
                <a16:creationId xmlns:a16="http://schemas.microsoft.com/office/drawing/2014/main" id="{00000000-0008-0000-0600-000056000000}"/>
              </a:ext>
            </a:extLst>
          </xdr:cNvPr>
          <xdr:cNvSpPr txBox="1"/>
        </xdr:nvSpPr>
        <xdr:spPr>
          <a:xfrm>
            <a:off x="551695" y="1552575"/>
            <a:ext cx="353180" cy="3238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vert="wordArtVert" wrap="none" lIns="0" tIns="0" rIns="0" bIns="0" rtlCol="0" anchor="ctr" anchorCtr="0">
            <a:noAutofit/>
          </a:bodyPr>
          <a:lstStyle/>
          <a:p>
            <a:r>
              <a:rPr lang="fr-CH" sz="1100" kern="0" spc="-700" baseline="0">
                <a:solidFill>
                  <a:sysClr val="windowText" lastClr="000000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AZ</a:t>
            </a:r>
          </a:p>
        </xdr:txBody>
      </xdr:sp>
      <xdr:cxnSp macro="[0]!Sortieren_Detailplan_AnzTage">
        <xdr:nvCxnSpPr>
          <xdr:cNvPr id="87" name="Gerade Verbindung mit Pfeil 86">
            <a:extLst>
              <a:ext uri="{FF2B5EF4-FFF2-40B4-BE49-F238E27FC236}">
                <a16:creationId xmlns:a16="http://schemas.microsoft.com/office/drawing/2014/main" id="{00000000-0008-0000-0600-000057000000}"/>
              </a:ext>
            </a:extLst>
          </xdr:cNvPr>
          <xdr:cNvCxnSpPr/>
        </xdr:nvCxnSpPr>
        <xdr:spPr>
          <a:xfrm>
            <a:off x="848469" y="1619250"/>
            <a:ext cx="0" cy="219075"/>
          </a:xfrm>
          <a:prstGeom prst="straightConnector1">
            <a:avLst/>
          </a:prstGeom>
          <a:ln w="3175">
            <a:solidFill>
              <a:sysClr val="windowText" lastClr="000000"/>
            </a:solidFill>
            <a:headEnd type="none" w="med" len="med"/>
            <a:tailEnd type="triangle" w="med" len="med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2</xdr:col>
      <xdr:colOff>2011570</xdr:colOff>
      <xdr:row>11</xdr:row>
      <xdr:rowOff>18761</xdr:rowOff>
    </xdr:from>
    <xdr:to>
      <xdr:col>2</xdr:col>
      <xdr:colOff>2407751</xdr:colOff>
      <xdr:row>12</xdr:row>
      <xdr:rowOff>204206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651650" y="1908521"/>
          <a:ext cx="396181" cy="345465"/>
          <a:chOff x="2629053" y="1943468"/>
          <a:chExt cx="396181" cy="349669"/>
        </a:xfrm>
      </xdr:grpSpPr>
      <xdr:grpSp>
        <xdr:nvGrpSpPr>
          <xdr:cNvPr id="22" name="Gruppieren 21">
            <a:extLst>
              <a:ext uri="{FF2B5EF4-FFF2-40B4-BE49-F238E27FC236}">
                <a16:creationId xmlns:a16="http://schemas.microsoft.com/office/drawing/2014/main" id="{00000000-0008-0000-0600-000016000000}"/>
              </a:ext>
            </a:extLst>
          </xdr:cNvPr>
          <xdr:cNvGrpSpPr/>
        </xdr:nvGrpSpPr>
        <xdr:grpSpPr>
          <a:xfrm>
            <a:off x="2629053" y="1943468"/>
            <a:ext cx="396181" cy="349669"/>
            <a:chOff x="2209272" y="1956518"/>
            <a:chExt cx="396181" cy="348067"/>
          </a:xfrm>
        </xdr:grpSpPr>
        <xdr:cxnSp macro="[0]!ans_Ende">
          <xdr:nvCxnSpPr>
            <xdr:cNvPr id="91" name="Gerade Verbindung mit Pfeil 90">
              <a:extLst>
                <a:ext uri="{FF2B5EF4-FFF2-40B4-BE49-F238E27FC236}">
                  <a16:creationId xmlns:a16="http://schemas.microsoft.com/office/drawing/2014/main" id="{00000000-0008-0000-0600-00005B000000}"/>
                </a:ext>
              </a:extLst>
            </xdr:cNvPr>
            <xdr:cNvCxnSpPr/>
          </xdr:nvCxnSpPr>
          <xdr:spPr>
            <a:xfrm>
              <a:off x="2405175" y="2148978"/>
              <a:ext cx="0" cy="155607"/>
            </a:xfrm>
            <a:prstGeom prst="straightConnector1">
              <a:avLst/>
            </a:prstGeom>
            <a:ln w="3175">
              <a:solidFill>
                <a:schemeClr val="bg1"/>
              </a:solidFill>
              <a:headEnd type="none" w="med" len="med"/>
              <a:tailEnd type="triangle" w="med" len="med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[0]!Sortieren_Detailplan_Beginn">
          <xdr:nvCxnSpPr>
            <xdr:cNvPr id="92" name="Gerade Verbindung mit Pfeil 91">
              <a:hlinkClick xmlns:r="http://schemas.openxmlformats.org/officeDocument/2006/relationships" r:id="rId14" tooltip="left"/>
              <a:extLst>
                <a:ext uri="{FF2B5EF4-FFF2-40B4-BE49-F238E27FC236}">
                  <a16:creationId xmlns:a16="http://schemas.microsoft.com/office/drawing/2014/main" id="{00000000-0008-0000-0600-00005C000000}"/>
                </a:ext>
              </a:extLst>
            </xdr:cNvPr>
            <xdr:cNvCxnSpPr/>
          </xdr:nvCxnSpPr>
          <xdr:spPr>
            <a:xfrm rot="5400000" flipH="1">
              <a:off x="2287076" y="2052749"/>
              <a:ext cx="0" cy="155607"/>
            </a:xfrm>
            <a:prstGeom prst="straightConnector1">
              <a:avLst/>
            </a:prstGeom>
            <a:ln w="3175">
              <a:solidFill>
                <a:schemeClr val="bg1"/>
              </a:solidFill>
              <a:headEnd type="none" w="med" len="med"/>
              <a:tailEnd type="triangle" w="med" len="med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[0]!Sortieren_Detailplan_Beginn">
          <xdr:nvCxnSpPr>
            <xdr:cNvPr id="93" name="Gerade Verbindung mit Pfeil 92">
              <a:hlinkClick xmlns:r="http://schemas.openxmlformats.org/officeDocument/2006/relationships" r:id="rId15" tooltip="up"/>
              <a:extLst>
                <a:ext uri="{FF2B5EF4-FFF2-40B4-BE49-F238E27FC236}">
                  <a16:creationId xmlns:a16="http://schemas.microsoft.com/office/drawing/2014/main" id="{00000000-0008-0000-0600-00005D000000}"/>
                </a:ext>
              </a:extLst>
            </xdr:cNvPr>
            <xdr:cNvCxnSpPr/>
          </xdr:nvCxnSpPr>
          <xdr:spPr>
            <a:xfrm rot="10800000">
              <a:off x="2405174" y="1956518"/>
              <a:ext cx="0" cy="155607"/>
            </a:xfrm>
            <a:prstGeom prst="straightConnector1">
              <a:avLst/>
            </a:prstGeom>
            <a:ln w="3175">
              <a:solidFill>
                <a:schemeClr val="bg1"/>
              </a:solidFill>
              <a:headEnd type="none" w="med" len="med"/>
              <a:tailEnd type="triangle" w="med" len="med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[0]!Sortieren_Detailplan_Beginn">
          <xdr:nvCxnSpPr>
            <xdr:cNvPr id="94" name="Gerade Verbindung mit Pfeil 93">
              <a:hlinkClick xmlns:r="http://schemas.openxmlformats.org/officeDocument/2006/relationships" r:id="rId16" tooltip="right"/>
              <a:extLst>
                <a:ext uri="{FF2B5EF4-FFF2-40B4-BE49-F238E27FC236}">
                  <a16:creationId xmlns:a16="http://schemas.microsoft.com/office/drawing/2014/main" id="{00000000-0008-0000-0600-00005E000000}"/>
                </a:ext>
              </a:extLst>
            </xdr:cNvPr>
            <xdr:cNvCxnSpPr/>
          </xdr:nvCxnSpPr>
          <xdr:spPr>
            <a:xfrm rot="16200000" flipH="1">
              <a:off x="2527650" y="2052749"/>
              <a:ext cx="0" cy="155607"/>
            </a:xfrm>
            <a:prstGeom prst="straightConnector1">
              <a:avLst/>
            </a:prstGeom>
            <a:ln w="3175">
              <a:solidFill>
                <a:schemeClr val="bg1"/>
              </a:solidFill>
              <a:headEnd type="none" w="med" len="med"/>
              <a:tailEnd type="triangle" w="med" len="med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sp macro="" textlink="">
        <xdr:nvSpPr>
          <xdr:cNvPr id="19" name="Ellipse 18">
            <a:extLst>
              <a:ext uri="{FF2B5EF4-FFF2-40B4-BE49-F238E27FC236}">
                <a16:creationId xmlns:a16="http://schemas.microsoft.com/office/drawing/2014/main" id="{00000000-0008-0000-0600-000013000000}"/>
              </a:ext>
            </a:extLst>
          </xdr:cNvPr>
          <xdr:cNvSpPr/>
        </xdr:nvSpPr>
        <xdr:spPr>
          <a:xfrm>
            <a:off x="2776307" y="2067481"/>
            <a:ext cx="101672" cy="101643"/>
          </a:xfrm>
          <a:prstGeom prst="ellipse">
            <a:avLst/>
          </a:prstGeom>
          <a:solidFill>
            <a:schemeClr val="bg1"/>
          </a:solidFill>
          <a:ln>
            <a:noFill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fr-CH" sz="1100" baseline="0"/>
          </a:p>
        </xdr:txBody>
      </xdr:sp>
    </xdr:grpSp>
    <xdr:clientData fPrintsWithSheet="0"/>
  </xdr:twoCellAnchor>
  <xdr:twoCellAnchor>
    <xdr:from>
      <xdr:col>6</xdr:col>
      <xdr:colOff>22860</xdr:colOff>
      <xdr:row>11</xdr:row>
      <xdr:rowOff>38100</xdr:rowOff>
    </xdr:from>
    <xdr:to>
      <xdr:col>6</xdr:col>
      <xdr:colOff>571500</xdr:colOff>
      <xdr:row>12</xdr:row>
      <xdr:rowOff>190500</xdr:rowOff>
    </xdr:to>
    <xdr:sp macro="" textlink="">
      <xdr:nvSpPr>
        <xdr:cNvPr id="9" name="Rechteck 8">
          <a:hlinkClick xmlns:r="http://schemas.openxmlformats.org/officeDocument/2006/relationships" r:id="rId17" tooltip="Go to TEAM"/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6530340" y="1927860"/>
          <a:ext cx="548640" cy="31242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de-CH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624842</xdr:colOff>
          <xdr:row>0</xdr:row>
          <xdr:rowOff>118110</xdr:rowOff>
        </xdr:from>
        <xdr:to>
          <xdr:col>9</xdr:col>
          <xdr:colOff>86093</xdr:colOff>
          <xdr:row>0</xdr:row>
          <xdr:rowOff>514110</xdr:rowOff>
        </xdr:to>
        <xdr:pic>
          <xdr:nvPicPr>
            <xdr:cNvPr id="67" name="Grafik 66">
              <a:extLst>
                <a:ext uri="{FF2B5EF4-FFF2-40B4-BE49-F238E27FC236}">
                  <a16:creationId xmlns:a16="http://schemas.microsoft.com/office/drawing/2014/main" id="{00000000-0008-0000-0600-00004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04569"/>
                </a:ext>
              </a:extLst>
            </xdr:cNvPicPr>
          </xdr:nvPicPr>
          <xdr:blipFill>
            <a:blip xmlns:r="http://schemas.openxmlformats.org/officeDocument/2006/relationships" r:embed="rId18"/>
            <a:srcRect/>
            <a:stretch>
              <a:fillRect/>
            </a:stretch>
          </xdr:blipFill>
          <xdr:spPr bwMode="auto">
            <a:xfrm>
              <a:off x="6477002" y="118110"/>
              <a:ext cx="1640571" cy="3960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654050</xdr:colOff>
      <xdr:row>7</xdr:row>
      <xdr:rowOff>187325</xdr:rowOff>
    </xdr:from>
    <xdr:to>
      <xdr:col>16</xdr:col>
      <xdr:colOff>234950</xdr:colOff>
      <xdr:row>17</xdr:row>
      <xdr:rowOff>136525</xdr:rowOff>
    </xdr:to>
    <xdr:grpSp>
      <xdr:nvGrpSpPr>
        <xdr:cNvPr id="48" name="Gruppieren 3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GrpSpPr/>
      </xdr:nvGrpSpPr>
      <xdr:grpSpPr>
        <a:xfrm>
          <a:off x="4974590" y="2389505"/>
          <a:ext cx="3665220" cy="1816100"/>
          <a:chOff x="21566" y="2342251"/>
          <a:chExt cx="4398393" cy="2883381"/>
        </a:xfrm>
      </xdr:grpSpPr>
      <xdr:graphicFrame macro="">
        <xdr:nvGraphicFramePr>
          <xdr:cNvPr id="56" name="Diagramm 4">
            <a:extLst>
              <a:ext uri="{FF2B5EF4-FFF2-40B4-BE49-F238E27FC236}">
                <a16:creationId xmlns:a16="http://schemas.microsoft.com/office/drawing/2014/main" id="{00000000-0008-0000-0800-000038000000}"/>
              </a:ext>
            </a:extLst>
          </xdr:cNvPr>
          <xdr:cNvGraphicFramePr/>
        </xdr:nvGraphicFramePr>
        <xdr:xfrm>
          <a:off x="21566" y="2342251"/>
          <a:ext cx="4398393" cy="28833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3" name="Diagramm 5">
            <a:extLst>
              <a:ext uri="{FF2B5EF4-FFF2-40B4-BE49-F238E27FC236}">
                <a16:creationId xmlns:a16="http://schemas.microsoft.com/office/drawing/2014/main" id="{00000000-0008-0000-0800-00003F000000}"/>
              </a:ext>
            </a:extLst>
          </xdr:cNvPr>
          <xdr:cNvGraphicFramePr>
            <a:graphicFrameLocks noChangeAspect="1"/>
          </xdr:cNvGraphicFramePr>
        </xdr:nvGraphicFramePr>
        <xdr:xfrm>
          <a:off x="258795" y="2471648"/>
          <a:ext cx="3932566" cy="25893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cxnSp macro="">
        <xdr:nvCxnSpPr>
          <xdr:cNvPr id="64" name="Gerader Verbinder 6">
            <a:extLst>
              <a:ext uri="{FF2B5EF4-FFF2-40B4-BE49-F238E27FC236}">
                <a16:creationId xmlns:a16="http://schemas.microsoft.com/office/drawing/2014/main" id="{00000000-0008-0000-0800-000040000000}"/>
              </a:ext>
            </a:extLst>
          </xdr:cNvPr>
          <xdr:cNvCxnSpPr/>
        </xdr:nvCxnSpPr>
        <xdr:spPr>
          <a:xfrm>
            <a:off x="1240573" y="3775654"/>
            <a:ext cx="2003511" cy="8627"/>
          </a:xfrm>
          <a:prstGeom prst="line">
            <a:avLst/>
          </a:prstGeom>
          <a:ln w="9525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65" name="Kreis 13">
            <a:extLst>
              <a:ext uri="{FF2B5EF4-FFF2-40B4-BE49-F238E27FC236}">
                <a16:creationId xmlns:a16="http://schemas.microsoft.com/office/drawing/2014/main" id="{00000000-0008-0000-0800-000041000000}"/>
              </a:ext>
            </a:extLst>
          </xdr:cNvPr>
          <xdr:cNvSpPr/>
        </xdr:nvSpPr>
        <xdr:spPr>
          <a:xfrm rot="10800000">
            <a:off x="2135992" y="3640523"/>
            <a:ext cx="189063" cy="242979"/>
          </a:xfrm>
          <a:prstGeom prst="pie">
            <a:avLst>
              <a:gd name="adj1" fmla="val 0"/>
              <a:gd name="adj2" fmla="val 10763427"/>
            </a:avLst>
          </a:prstGeom>
          <a:solidFill>
            <a:schemeClr val="tx1"/>
          </a:solidFill>
          <a:ln>
            <a:noFill/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de-DE" sz="1100">
              <a:solidFill>
                <a:schemeClr val="tx1"/>
              </a:solidFill>
            </a:endParaRPr>
          </a:p>
        </xdr:txBody>
      </xdr:sp>
    </xdr:grpSp>
    <xdr:clientData/>
  </xdr:twoCellAnchor>
  <xdr:twoCellAnchor editAs="oneCell">
    <xdr:from>
      <xdr:col>5</xdr:col>
      <xdr:colOff>142877</xdr:colOff>
      <xdr:row>8</xdr:row>
      <xdr:rowOff>9525</xdr:rowOff>
    </xdr:from>
    <xdr:to>
      <xdr:col>9</xdr:col>
      <xdr:colOff>920750</xdr:colOff>
      <xdr:row>13</xdr:row>
      <xdr:rowOff>114300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3</xdr:col>
      <xdr:colOff>3570</xdr:colOff>
      <xdr:row>50</xdr:row>
      <xdr:rowOff>85725</xdr:rowOff>
    </xdr:from>
    <xdr:to>
      <xdr:col>7</xdr:col>
      <xdr:colOff>116170</xdr:colOff>
      <xdr:row>53</xdr:row>
      <xdr:rowOff>37134</xdr:rowOff>
    </xdr:to>
    <xdr:graphicFrame macro="">
      <xdr:nvGraphicFramePr>
        <xdr:cNvPr id="16" name="Diagramm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3</xdr:col>
      <xdr:colOff>3570</xdr:colOff>
      <xdr:row>51</xdr:row>
      <xdr:rowOff>246917</xdr:rowOff>
    </xdr:from>
    <xdr:to>
      <xdr:col>7</xdr:col>
      <xdr:colOff>116170</xdr:colOff>
      <xdr:row>55</xdr:row>
      <xdr:rowOff>48857</xdr:rowOff>
    </xdr:to>
    <xdr:graphicFrame macro="">
      <xdr:nvGraphicFramePr>
        <xdr:cNvPr id="23" name="Diagramm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3</xdr:col>
      <xdr:colOff>3570</xdr:colOff>
      <xdr:row>53</xdr:row>
      <xdr:rowOff>254244</xdr:rowOff>
    </xdr:from>
    <xdr:to>
      <xdr:col>7</xdr:col>
      <xdr:colOff>116170</xdr:colOff>
      <xdr:row>57</xdr:row>
      <xdr:rowOff>56185</xdr:rowOff>
    </xdr:to>
    <xdr:graphicFrame macro="">
      <xdr:nvGraphicFramePr>
        <xdr:cNvPr id="24" name="Diagramm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0</xdr:col>
      <xdr:colOff>66675</xdr:colOff>
      <xdr:row>0</xdr:row>
      <xdr:rowOff>219086</xdr:rowOff>
    </xdr:from>
    <xdr:to>
      <xdr:col>0</xdr:col>
      <xdr:colOff>390675</xdr:colOff>
      <xdr:row>0</xdr:row>
      <xdr:rowOff>544551</xdr:rowOff>
    </xdr:to>
    <xdr:grpSp>
      <xdr:nvGrpSpPr>
        <xdr:cNvPr id="32" name="Gruppieren 31">
          <a:hlinkClick xmlns:r="http://schemas.openxmlformats.org/officeDocument/2006/relationships" r:id="rId7" tooltip="Home"/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GrpSpPr/>
      </xdr:nvGrpSpPr>
      <xdr:grpSpPr>
        <a:xfrm>
          <a:off x="66675" y="219086"/>
          <a:ext cx="324000" cy="325465"/>
          <a:chOff x="12729063" y="1298331"/>
          <a:chExt cx="324000" cy="323267"/>
        </a:xfrm>
      </xdr:grpSpPr>
      <xdr:sp macro="" textlink="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0800-000021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4" name="Grafik 3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800-00002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238125</xdr:colOff>
          <xdr:row>0</xdr:row>
          <xdr:rowOff>28575</xdr:rowOff>
        </xdr:from>
        <xdr:to>
          <xdr:col>12</xdr:col>
          <xdr:colOff>47625</xdr:colOff>
          <xdr:row>0</xdr:row>
          <xdr:rowOff>561975</xdr:rowOff>
        </xdr:to>
        <xdr:pic>
          <xdr:nvPicPr>
            <xdr:cNvPr id="49" name="Grafik 48">
              <a:extLst>
                <a:ext uri="{FF2B5EF4-FFF2-40B4-BE49-F238E27FC236}">
                  <a16:creationId xmlns:a16="http://schemas.microsoft.com/office/drawing/2014/main" id="{00000000-0008-0000-0800-000031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09152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5324475" y="28575"/>
              <a:ext cx="217170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11</xdr:col>
      <xdr:colOff>958209</xdr:colOff>
      <xdr:row>49</xdr:row>
      <xdr:rowOff>3406</xdr:rowOff>
    </xdr:from>
    <xdr:to>
      <xdr:col>11</xdr:col>
      <xdr:colOff>1132218</xdr:colOff>
      <xdr:row>49</xdr:row>
      <xdr:rowOff>177155</xdr:rowOff>
    </xdr:to>
    <xdr:grpSp>
      <xdr:nvGrpSpPr>
        <xdr:cNvPr id="35" name="Gruppieren 34">
          <a:hlinkClick xmlns:r="http://schemas.openxmlformats.org/officeDocument/2006/relationships" r:id="rId10" tooltip="Budget"/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GrpSpPr>
          <a:grpSpLocks noChangeAspect="1"/>
        </xdr:cNvGrpSpPr>
      </xdr:nvGrpSpPr>
      <xdr:grpSpPr>
        <a:xfrm>
          <a:off x="7374249" y="9665566"/>
          <a:ext cx="174009" cy="173749"/>
          <a:chOff x="12020550" y="2171700"/>
          <a:chExt cx="324000" cy="325465"/>
        </a:xfrm>
      </xdr:grpSpPr>
      <xdr:sp macro="" textlink="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0800-000024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7" name="Pfeil nach rechts 36">
            <a:extLst>
              <a:ext uri="{FF2B5EF4-FFF2-40B4-BE49-F238E27FC236}">
                <a16:creationId xmlns:a16="http://schemas.microsoft.com/office/drawing/2014/main" id="{00000000-0008-0000-0800-000025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11</xdr:col>
      <xdr:colOff>500068</xdr:colOff>
      <xdr:row>1</xdr:row>
      <xdr:rowOff>152410</xdr:rowOff>
    </xdr:from>
    <xdr:to>
      <xdr:col>11</xdr:col>
      <xdr:colOff>1180129</xdr:colOff>
      <xdr:row>1</xdr:row>
      <xdr:rowOff>326159</xdr:rowOff>
    </xdr:to>
    <xdr:grpSp>
      <xdr:nvGrpSpPr>
        <xdr:cNvPr id="4" name="Gruppieren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pSpPr/>
      </xdr:nvGrpSpPr>
      <xdr:grpSpPr>
        <a:xfrm>
          <a:off x="6916108" y="723910"/>
          <a:ext cx="672441" cy="173749"/>
          <a:chOff x="6729411" y="623887"/>
          <a:chExt cx="680061" cy="180000"/>
        </a:xfrm>
      </xdr:grpSpPr>
      <xdr:grpSp>
        <xdr:nvGrpSpPr>
          <xdr:cNvPr id="50" name="Gruppieren 47">
            <a:hlinkClick xmlns:r="http://schemas.openxmlformats.org/officeDocument/2006/relationships" r:id="rId11" tooltip="Help"/>
            <a:extLst>
              <a:ext uri="{FF2B5EF4-FFF2-40B4-BE49-F238E27FC236}">
                <a16:creationId xmlns:a16="http://schemas.microsoft.com/office/drawing/2014/main" id="{00000000-0008-0000-0800-000032000000}"/>
              </a:ext>
            </a:extLst>
          </xdr:cNvPr>
          <xdr:cNvGrpSpPr>
            <a:grpSpLocks/>
          </xdr:cNvGrpSpPr>
        </xdr:nvGrpSpPr>
        <xdr:grpSpPr>
          <a:xfrm>
            <a:off x="7229472" y="623887"/>
            <a:ext cx="180000" cy="180000"/>
            <a:chOff x="8105775" y="571500"/>
            <a:chExt cx="172800" cy="172800"/>
          </a:xfrm>
        </xdr:grpSpPr>
        <xdr:sp macro="" textlink="">
          <xdr:nvSpPr>
            <xdr:cNvPr id="51" name="Rechteck 48">
              <a:extLst>
                <a:ext uri="{FF2B5EF4-FFF2-40B4-BE49-F238E27FC236}">
                  <a16:creationId xmlns:a16="http://schemas.microsoft.com/office/drawing/2014/main" id="{00000000-0008-0000-0800-000033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52" name="Textfeld 49">
              <a:extLst>
                <a:ext uri="{FF2B5EF4-FFF2-40B4-BE49-F238E27FC236}">
                  <a16:creationId xmlns:a16="http://schemas.microsoft.com/office/drawing/2014/main" id="{00000000-0008-0000-0800-000034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xdr:sp macro="[0]!Register_ein" textlink="">
        <xdr:nvSpPr>
          <xdr:cNvPr id="54" name="Rechteck 78">
            <a:extLst>
              <a:ext uri="{FF2B5EF4-FFF2-40B4-BE49-F238E27FC236}">
                <a16:creationId xmlns:a16="http://schemas.microsoft.com/office/drawing/2014/main" id="{00000000-0008-0000-0800-000036000000}"/>
              </a:ext>
            </a:extLst>
          </xdr:cNvPr>
          <xdr:cNvSpPr>
            <a:spLocks noChangeAspect="1"/>
          </xdr:cNvSpPr>
        </xdr:nvSpPr>
        <xdr:spPr>
          <a:xfrm>
            <a:off x="6729411" y="623887"/>
            <a:ext cx="189667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6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+</a:t>
            </a:r>
          </a:p>
        </xdr:txBody>
      </xdr:sp>
      <xdr:sp macro="[0]!Register_aus" textlink="">
        <xdr:nvSpPr>
          <xdr:cNvPr id="55" name="Rechteck 84">
            <a:extLst>
              <a:ext uri="{FF2B5EF4-FFF2-40B4-BE49-F238E27FC236}">
                <a16:creationId xmlns:a16="http://schemas.microsoft.com/office/drawing/2014/main" id="{00000000-0008-0000-0800-000037000000}"/>
              </a:ext>
            </a:extLst>
          </xdr:cNvPr>
          <xdr:cNvSpPr>
            <a:spLocks noChangeAspect="1"/>
          </xdr:cNvSpPr>
        </xdr:nvSpPr>
        <xdr:spPr>
          <a:xfrm>
            <a:off x="6949438" y="623887"/>
            <a:ext cx="17919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8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-</a:t>
            </a:r>
          </a:p>
        </xdr:txBody>
      </xdr:sp>
    </xdr:grpSp>
    <xdr:clientData fPrintsWithSheet="0"/>
  </xdr:twoCellAnchor>
  <xdr:oneCellAnchor>
    <xdr:from>
      <xdr:col>5</xdr:col>
      <xdr:colOff>323850</xdr:colOff>
      <xdr:row>11</xdr:row>
      <xdr:rowOff>133350</xdr:rowOff>
    </xdr:from>
    <xdr:ext cx="1166812" cy="233205"/>
    <xdr:sp macro="" textlink="Projektmgmt!$U$3">
      <xdr:nvSpPr>
        <xdr:cNvPr id="38" name="TextBox 5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 txBox="1"/>
      </xdr:nvSpPr>
      <xdr:spPr>
        <a:xfrm>
          <a:off x="4071938" y="2933700"/>
          <a:ext cx="1166812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square" lIns="36000" rtlCol="0" anchor="t">
          <a:noAutofit/>
        </a:bodyPr>
        <a:lstStyle/>
        <a:p>
          <a:pPr algn="l"/>
          <a:fld id="{931DCFC8-787A-483B-B3AF-1F049B793E55}" type="TxLink">
            <a:rPr lang="en-US" sz="1000" b="0" i="0" u="none" strike="noStrike">
              <a:solidFill>
                <a:schemeClr val="accent3">
                  <a:lumMod val="50000"/>
                </a:schemeClr>
              </a:solidFill>
              <a:latin typeface="Calibri"/>
            </a:rPr>
            <a:pPr algn="l"/>
            <a:t>0 h / 4 h</a:t>
          </a:fld>
          <a:endParaRPr lang="fr-CH" sz="1000">
            <a:solidFill>
              <a:schemeClr val="accent3">
                <a:lumMod val="50000"/>
              </a:schemeClr>
            </a:solidFill>
          </a:endParaRPr>
        </a:p>
      </xdr:txBody>
    </xdr:sp>
    <xdr:clientData/>
  </xdr:oneCellAnchor>
  <xdr:twoCellAnchor editAs="absolute">
    <xdr:from>
      <xdr:col>12</xdr:col>
      <xdr:colOff>55540</xdr:colOff>
      <xdr:row>22</xdr:row>
      <xdr:rowOff>57152</xdr:rowOff>
    </xdr:from>
    <xdr:to>
      <xdr:col>12</xdr:col>
      <xdr:colOff>222228</xdr:colOff>
      <xdr:row>23</xdr:row>
      <xdr:rowOff>19906</xdr:rowOff>
    </xdr:to>
    <xdr:sp macro="" textlink="">
      <xdr:nvSpPr>
        <xdr:cNvPr id="57" name="TextBox 56">
          <a:hlinkClick xmlns:r="http://schemas.openxmlformats.org/officeDocument/2006/relationships" r:id="rId12" tooltip="Indicator"/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 txBox="1"/>
      </xdr:nvSpPr>
      <xdr:spPr>
        <a:xfrm>
          <a:off x="7991453" y="4876802"/>
          <a:ext cx="166688" cy="1532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0" i="0" u="none" strike="noStrike">
            <a:solidFill>
              <a:schemeClr val="tx2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absolute">
    <xdr:from>
      <xdr:col>12</xdr:col>
      <xdr:colOff>2098</xdr:colOff>
      <xdr:row>22</xdr:row>
      <xdr:rowOff>134305</xdr:rowOff>
    </xdr:from>
    <xdr:to>
      <xdr:col>12</xdr:col>
      <xdr:colOff>203178</xdr:colOff>
      <xdr:row>23</xdr:row>
      <xdr:rowOff>116109</xdr:rowOff>
    </xdr:to>
    <xdr:sp macro="" textlink="">
      <xdr:nvSpPr>
        <xdr:cNvPr id="58" name="TextBox 57">
          <a:hlinkClick xmlns:r="http://schemas.openxmlformats.org/officeDocument/2006/relationships" r:id="rId13" tooltip="Indicator"/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/>
      </xdr:nvSpPr>
      <xdr:spPr>
        <a:xfrm>
          <a:off x="7434240" y="5068255"/>
          <a:ext cx="166688" cy="162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r"/>
          <a:endParaRPr lang="en-US" sz="900" b="0" i="0" u="none" strike="noStrike">
            <a:solidFill>
              <a:schemeClr val="tx2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absolute">
    <xdr:from>
      <xdr:col>12</xdr:col>
      <xdr:colOff>55540</xdr:colOff>
      <xdr:row>24</xdr:row>
      <xdr:rowOff>49533</xdr:rowOff>
    </xdr:from>
    <xdr:to>
      <xdr:col>12</xdr:col>
      <xdr:colOff>222228</xdr:colOff>
      <xdr:row>25</xdr:row>
      <xdr:rowOff>21812</xdr:rowOff>
    </xdr:to>
    <xdr:sp macro="" textlink="">
      <xdr:nvSpPr>
        <xdr:cNvPr id="59" name="TextBox 58">
          <a:hlinkClick xmlns:r="http://schemas.openxmlformats.org/officeDocument/2006/relationships" r:id="rId14" tooltip="Indicator"/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/>
      </xdr:nvSpPr>
      <xdr:spPr>
        <a:xfrm>
          <a:off x="7991453" y="5240658"/>
          <a:ext cx="166688" cy="1532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0" i="0" u="none" strike="noStrike">
            <a:solidFill>
              <a:schemeClr val="tx2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absolute">
    <xdr:from>
      <xdr:col>12</xdr:col>
      <xdr:colOff>55540</xdr:colOff>
      <xdr:row>25</xdr:row>
      <xdr:rowOff>50486</xdr:rowOff>
    </xdr:from>
    <xdr:to>
      <xdr:col>12</xdr:col>
      <xdr:colOff>222228</xdr:colOff>
      <xdr:row>26</xdr:row>
      <xdr:rowOff>22765</xdr:rowOff>
    </xdr:to>
    <xdr:sp macro="" textlink="">
      <xdr:nvSpPr>
        <xdr:cNvPr id="60" name="TextBox 59">
          <a:hlinkClick xmlns:r="http://schemas.openxmlformats.org/officeDocument/2006/relationships" r:id="rId15" tooltip="Indicator"/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 txBox="1"/>
      </xdr:nvSpPr>
      <xdr:spPr>
        <a:xfrm>
          <a:off x="7991453" y="5422586"/>
          <a:ext cx="166688" cy="1532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0" i="0" u="none" strike="noStrike">
            <a:solidFill>
              <a:schemeClr val="tx2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absolute">
    <xdr:from>
      <xdr:col>12</xdr:col>
      <xdr:colOff>55540</xdr:colOff>
      <xdr:row>26</xdr:row>
      <xdr:rowOff>51439</xdr:rowOff>
    </xdr:from>
    <xdr:to>
      <xdr:col>12</xdr:col>
      <xdr:colOff>222228</xdr:colOff>
      <xdr:row>27</xdr:row>
      <xdr:rowOff>23718</xdr:rowOff>
    </xdr:to>
    <xdr:sp macro="" textlink="">
      <xdr:nvSpPr>
        <xdr:cNvPr id="61" name="TextBox 60">
          <a:hlinkClick xmlns:r="http://schemas.openxmlformats.org/officeDocument/2006/relationships" r:id="rId16" tooltip="Indicator"/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 txBox="1"/>
      </xdr:nvSpPr>
      <xdr:spPr>
        <a:xfrm>
          <a:off x="7991453" y="5604514"/>
          <a:ext cx="166688" cy="1532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0" i="0" u="none" strike="noStrike">
            <a:solidFill>
              <a:schemeClr val="tx2"/>
            </a:solidFill>
            <a:latin typeface="Calibri"/>
          </a:endParaRPr>
        </a:p>
      </xdr:txBody>
    </xdr:sp>
    <xdr:clientData/>
  </xdr:twoCellAnchor>
  <xdr:twoCellAnchor editAs="absolute">
    <xdr:from>
      <xdr:col>12</xdr:col>
      <xdr:colOff>55540</xdr:colOff>
      <xdr:row>27</xdr:row>
      <xdr:rowOff>52391</xdr:rowOff>
    </xdr:from>
    <xdr:to>
      <xdr:col>12</xdr:col>
      <xdr:colOff>222228</xdr:colOff>
      <xdr:row>28</xdr:row>
      <xdr:rowOff>24670</xdr:rowOff>
    </xdr:to>
    <xdr:sp macro="" textlink="">
      <xdr:nvSpPr>
        <xdr:cNvPr id="62" name="TextBox 61">
          <a:hlinkClick xmlns:r="http://schemas.openxmlformats.org/officeDocument/2006/relationships" r:id="rId17" tooltip="Indicator"/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 txBox="1"/>
      </xdr:nvSpPr>
      <xdr:spPr>
        <a:xfrm>
          <a:off x="7991453" y="5786441"/>
          <a:ext cx="166688" cy="1532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en-US" sz="900" b="0" i="0" u="none" strike="noStrike">
            <a:solidFill>
              <a:schemeClr val="tx2"/>
            </a:solidFill>
            <a:latin typeface="Calibri"/>
          </a:endParaRPr>
        </a:p>
      </xdr:txBody>
    </xdr:sp>
    <xdr:clientData/>
  </xdr:twoCellAnchor>
  <xdr:twoCellAnchor>
    <xdr:from>
      <xdr:col>0</xdr:col>
      <xdr:colOff>457199</xdr:colOff>
      <xdr:row>0</xdr:row>
      <xdr:rowOff>166690</xdr:rowOff>
    </xdr:from>
    <xdr:to>
      <xdr:col>9</xdr:col>
      <xdr:colOff>14849</xdr:colOff>
      <xdr:row>1</xdr:row>
      <xdr:rowOff>19052</xdr:rowOff>
    </xdr:to>
    <xdr:sp macro="" textlink="">
      <xdr:nvSpPr>
        <xdr:cNvPr id="44" name="Rectangle 1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/>
      </xdr:nvSpPr>
      <xdr:spPr>
        <a:xfrm>
          <a:off x="457199" y="166690"/>
          <a:ext cx="4586850" cy="423862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PrintsWithSheet="0"/>
  </xdr:twoCellAnchor>
  <xdr:twoCellAnchor>
    <xdr:from>
      <xdr:col>1</xdr:col>
      <xdr:colOff>21468</xdr:colOff>
      <xdr:row>0</xdr:row>
      <xdr:rowOff>228601</xdr:rowOff>
    </xdr:from>
    <xdr:to>
      <xdr:col>8</xdr:col>
      <xdr:colOff>785967</xdr:colOff>
      <xdr:row>0</xdr:row>
      <xdr:rowOff>552452</xdr:rowOff>
    </xdr:to>
    <xdr:grpSp>
      <xdr:nvGrpSpPr>
        <xdr:cNvPr id="5" name="Gruppieren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pSpPr/>
      </xdr:nvGrpSpPr>
      <xdr:grpSpPr>
        <a:xfrm>
          <a:off x="501528" y="228601"/>
          <a:ext cx="4604979" cy="323851"/>
          <a:chOff x="488193" y="228601"/>
          <a:chExt cx="4498299" cy="323851"/>
        </a:xfrm>
      </xdr:grpSpPr>
      <xdr:sp macro="" textlink="">
        <xdr:nvSpPr>
          <xdr:cNvPr id="45" name="Rechteck: obere Ecken abgerundet 13">
            <a:hlinkClick xmlns:r="http://schemas.openxmlformats.org/officeDocument/2006/relationships" r:id="rId18" tooltip="Go to"/>
            <a:extLst>
              <a:ext uri="{FF2B5EF4-FFF2-40B4-BE49-F238E27FC236}">
                <a16:creationId xmlns:a16="http://schemas.microsoft.com/office/drawing/2014/main" id="{00000000-0008-0000-0800-00002D000000}"/>
              </a:ext>
            </a:extLst>
          </xdr:cNvPr>
          <xdr:cNvSpPr/>
        </xdr:nvSpPr>
        <xdr:spPr>
          <a:xfrm>
            <a:off x="488193" y="228601"/>
            <a:ext cx="1097063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Team</a:t>
            </a:r>
          </a:p>
        </xdr:txBody>
      </xdr:sp>
      <xdr:sp macro="" textlink="' '!A43">
        <xdr:nvSpPr>
          <xdr:cNvPr id="46" name="Rechteck: obere Ecken abgerundet 14">
            <a:hlinkClick xmlns:r="http://schemas.openxmlformats.org/officeDocument/2006/relationships" r:id="rId19" tooltip="Go to"/>
            <a:extLst>
              <a:ext uri="{FF2B5EF4-FFF2-40B4-BE49-F238E27FC236}">
                <a16:creationId xmlns:a16="http://schemas.microsoft.com/office/drawing/2014/main" id="{00000000-0008-0000-0800-00002E000000}"/>
              </a:ext>
            </a:extLst>
          </xdr:cNvPr>
          <xdr:cNvSpPr/>
        </xdr:nvSpPr>
        <xdr:spPr>
          <a:xfrm>
            <a:off x="1621938" y="228601"/>
            <a:ext cx="1097063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3C197A3B-565C-473A-93F8-801F1709354A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Mandat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8">
        <xdr:nvSpPr>
          <xdr:cNvPr id="47" name="Rechteck: obere Ecken abgerundet 15">
            <a:hlinkClick xmlns:r="http://schemas.openxmlformats.org/officeDocument/2006/relationships" r:id="rId20" tooltip="Go to"/>
            <a:extLst>
              <a:ext uri="{FF2B5EF4-FFF2-40B4-BE49-F238E27FC236}">
                <a16:creationId xmlns:a16="http://schemas.microsoft.com/office/drawing/2014/main" id="{00000000-0008-0000-0800-00002F000000}"/>
              </a:ext>
            </a:extLst>
          </xdr:cNvPr>
          <xdr:cNvSpPr/>
        </xdr:nvSpPr>
        <xdr:spPr>
          <a:xfrm>
            <a:off x="2755684" y="228601"/>
            <a:ext cx="1097063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43347A05-79B5-40E9-AD88-A44D575072DF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Planification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45">
        <xdr:nvSpPr>
          <xdr:cNvPr id="53" name="Rechteck: obere Ecken abgerundet 21">
            <a:hlinkClick xmlns:r="http://schemas.openxmlformats.org/officeDocument/2006/relationships" r:id="rId21" tooltip="Go to"/>
            <a:extLst>
              <a:ext uri="{FF2B5EF4-FFF2-40B4-BE49-F238E27FC236}">
                <a16:creationId xmlns:a16="http://schemas.microsoft.com/office/drawing/2014/main" id="{00000000-0008-0000-0800-000035000000}"/>
              </a:ext>
            </a:extLst>
          </xdr:cNvPr>
          <xdr:cNvSpPr/>
        </xdr:nvSpPr>
        <xdr:spPr>
          <a:xfrm>
            <a:off x="3889429" y="228601"/>
            <a:ext cx="1097063" cy="323851"/>
          </a:xfrm>
          <a:prstGeom prst="round2Same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BD043FEF-55CE-4864-AED4-B0A6E1416D39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Suivi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>
    <xdr:from>
      <xdr:col>7</xdr:col>
      <xdr:colOff>38100</xdr:colOff>
      <xdr:row>51</xdr:row>
      <xdr:rowOff>19048</xdr:rowOff>
    </xdr:from>
    <xdr:to>
      <xdr:col>8</xdr:col>
      <xdr:colOff>819150</xdr:colOff>
      <xdr:row>56</xdr:row>
      <xdr:rowOff>9523</xdr:rowOff>
    </xdr:to>
    <xdr:sp macro="" textlink="">
      <xdr:nvSpPr>
        <xdr:cNvPr id="76" name="Rechteck 75">
          <a:hlinkClick xmlns:r="http://schemas.openxmlformats.org/officeDocument/2006/relationships" r:id="rId22" tooltip="Goto Team"/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/>
      </xdr:nvSpPr>
      <xdr:spPr>
        <a:xfrm>
          <a:off x="4057650" y="10248898"/>
          <a:ext cx="1019175" cy="94297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>
    <xdr:from>
      <xdr:col>9</xdr:col>
      <xdr:colOff>9525</xdr:colOff>
      <xdr:row>51</xdr:row>
      <xdr:rowOff>0</xdr:rowOff>
    </xdr:from>
    <xdr:to>
      <xdr:col>9</xdr:col>
      <xdr:colOff>1028700</xdr:colOff>
      <xdr:row>56</xdr:row>
      <xdr:rowOff>9524</xdr:rowOff>
    </xdr:to>
    <xdr:sp macro="" textlink="">
      <xdr:nvSpPr>
        <xdr:cNvPr id="77" name="Rechteck 76">
          <a:hlinkClick xmlns:r="http://schemas.openxmlformats.org/officeDocument/2006/relationships" r:id="rId10" tooltip="Goto budget"/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/>
      </xdr:nvSpPr>
      <xdr:spPr>
        <a:xfrm>
          <a:off x="5095875" y="10229850"/>
          <a:ext cx="1019175" cy="962024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>
    <xdr:from>
      <xdr:col>11</xdr:col>
      <xdr:colOff>9525</xdr:colOff>
      <xdr:row>51</xdr:row>
      <xdr:rowOff>9525</xdr:rowOff>
    </xdr:from>
    <xdr:to>
      <xdr:col>11</xdr:col>
      <xdr:colOff>1143000</xdr:colOff>
      <xdr:row>56</xdr:row>
      <xdr:rowOff>19049</xdr:rowOff>
    </xdr:to>
    <xdr:sp macro="" textlink="">
      <xdr:nvSpPr>
        <xdr:cNvPr id="78" name="Rechteck 77">
          <a:hlinkClick xmlns:r="http://schemas.openxmlformats.org/officeDocument/2006/relationships" r:id="rId10" tooltip="Goto budget"/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/>
      </xdr:nvSpPr>
      <xdr:spPr>
        <a:xfrm>
          <a:off x="6305550" y="10239375"/>
          <a:ext cx="1133475" cy="962024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>
    <xdr:from>
      <xdr:col>1</xdr:col>
      <xdr:colOff>0</xdr:colOff>
      <xdr:row>51</xdr:row>
      <xdr:rowOff>0</xdr:rowOff>
    </xdr:from>
    <xdr:to>
      <xdr:col>3</xdr:col>
      <xdr:colOff>219075</xdr:colOff>
      <xdr:row>56</xdr:row>
      <xdr:rowOff>9524</xdr:rowOff>
    </xdr:to>
    <xdr:sp macro="" textlink="">
      <xdr:nvSpPr>
        <xdr:cNvPr id="79" name="Rechteck 78">
          <a:hlinkClick xmlns:r="http://schemas.openxmlformats.org/officeDocument/2006/relationships" r:id="rId10" tooltip="Goto budget"/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/>
      </xdr:nvSpPr>
      <xdr:spPr>
        <a:xfrm>
          <a:off x="466725" y="10229850"/>
          <a:ext cx="1485900" cy="962024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 editAs="oneCell">
    <xdr:from>
      <xdr:col>11</xdr:col>
      <xdr:colOff>203200</xdr:colOff>
      <xdr:row>1</xdr:row>
      <xdr:rowOff>127000</xdr:rowOff>
    </xdr:from>
    <xdr:to>
      <xdr:col>11</xdr:col>
      <xdr:colOff>419200</xdr:colOff>
      <xdr:row>1</xdr:row>
      <xdr:rowOff>343000</xdr:rowOff>
    </xdr:to>
    <xdr:pic>
      <xdr:nvPicPr>
        <xdr:cNvPr id="81" name="Grafik 80">
          <a:hlinkClick xmlns:r="http://schemas.openxmlformats.org/officeDocument/2006/relationships" r:id="rId23" tooltip="Options"/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000" y="698500"/>
          <a:ext cx="216000" cy="216000"/>
        </a:xfrm>
        <a:prstGeom prst="rect">
          <a:avLst/>
        </a:prstGeom>
      </xdr:spPr>
    </xdr:pic>
    <xdr:clientData fPrintsWithSheet="0"/>
  </xdr:twoCellAnchor>
  <xdr:twoCellAnchor>
    <xdr:from>
      <xdr:col>0</xdr:col>
      <xdr:colOff>43814</xdr:colOff>
      <xdr:row>1</xdr:row>
      <xdr:rowOff>373381</xdr:rowOff>
    </xdr:from>
    <xdr:to>
      <xdr:col>0</xdr:col>
      <xdr:colOff>417628</xdr:colOff>
      <xdr:row>3</xdr:row>
      <xdr:rowOff>190500</xdr:rowOff>
    </xdr:to>
    <xdr:grpSp>
      <xdr:nvGrpSpPr>
        <xdr:cNvPr id="12" name="Gruppieren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GrpSpPr/>
      </xdr:nvGrpSpPr>
      <xdr:grpSpPr>
        <a:xfrm>
          <a:off x="43814" y="944881"/>
          <a:ext cx="373814" cy="380999"/>
          <a:chOff x="11831953" y="2994660"/>
          <a:chExt cx="2463168" cy="251051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>
            <a:spLocks noChangeAspect="1"/>
          </xdr:cNvSpPr>
        </xdr:nvSpPr>
        <xdr:spPr>
          <a:xfrm>
            <a:off x="11831953" y="3046106"/>
            <a:ext cx="2448000" cy="2459069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" name="Grafik 2" descr="人类logo模板图片素材 人类logo模板设计素材 人类logo模板摄影作品 人类logo模板源文件下载 人类logo模板图片素材下载 人类 ...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6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79579" y="2994660"/>
            <a:ext cx="2415542" cy="241554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3571</xdr:colOff>
      <xdr:row>24</xdr:row>
      <xdr:rowOff>85724</xdr:rowOff>
    </xdr:from>
    <xdr:to>
      <xdr:col>6</xdr:col>
      <xdr:colOff>5146</xdr:colOff>
      <xdr:row>27</xdr:row>
      <xdr:rowOff>38324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3571</xdr:colOff>
      <xdr:row>25</xdr:row>
      <xdr:rowOff>257174</xdr:rowOff>
    </xdr:from>
    <xdr:to>
      <xdr:col>6</xdr:col>
      <xdr:colOff>5146</xdr:colOff>
      <xdr:row>29</xdr:row>
      <xdr:rowOff>57374</xdr:rowOff>
    </xdr:to>
    <xdr:graphicFrame macro="">
      <xdr:nvGraphicFramePr>
        <xdr:cNvPr id="14" name="Diagramm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3</xdr:col>
      <xdr:colOff>3571</xdr:colOff>
      <xdr:row>27</xdr:row>
      <xdr:rowOff>257174</xdr:rowOff>
    </xdr:from>
    <xdr:to>
      <xdr:col>6</xdr:col>
      <xdr:colOff>5146</xdr:colOff>
      <xdr:row>31</xdr:row>
      <xdr:rowOff>57374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66675</xdr:colOff>
      <xdr:row>0</xdr:row>
      <xdr:rowOff>180975</xdr:rowOff>
    </xdr:from>
    <xdr:to>
      <xdr:col>0</xdr:col>
      <xdr:colOff>390675</xdr:colOff>
      <xdr:row>0</xdr:row>
      <xdr:rowOff>506440</xdr:rowOff>
    </xdr:to>
    <xdr:grpSp>
      <xdr:nvGrpSpPr>
        <xdr:cNvPr id="26" name="Gruppieren 25">
          <a:hlinkClick xmlns:r="http://schemas.openxmlformats.org/officeDocument/2006/relationships" r:id="rId4" tooltip="Home"/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GrpSpPr/>
      </xdr:nvGrpSpPr>
      <xdr:grpSpPr>
        <a:xfrm>
          <a:off x="66675" y="180975"/>
          <a:ext cx="324000" cy="325465"/>
          <a:chOff x="12729063" y="1298331"/>
          <a:chExt cx="324000" cy="323267"/>
        </a:xfrm>
      </xdr:grpSpPr>
      <xdr:sp macro="" textlink="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0900-00001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8" name="Grafik 27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900-00001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28575</xdr:rowOff>
        </xdr:from>
        <xdr:to>
          <xdr:col>11</xdr:col>
          <xdr:colOff>1085850</xdr:colOff>
          <xdr:row>0</xdr:row>
          <xdr:rowOff>561975</xdr:rowOff>
        </xdr:to>
        <xdr:pic>
          <xdr:nvPicPr>
            <xdr:cNvPr id="19" name="Grafik 18"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07101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5314950" y="28575"/>
              <a:ext cx="217170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11</xdr:col>
      <xdr:colOff>904897</xdr:colOff>
      <xdr:row>23</xdr:row>
      <xdr:rowOff>2290</xdr:rowOff>
    </xdr:from>
    <xdr:to>
      <xdr:col>11</xdr:col>
      <xdr:colOff>1084897</xdr:colOff>
      <xdr:row>23</xdr:row>
      <xdr:rowOff>175238</xdr:rowOff>
    </xdr:to>
    <xdr:grpSp>
      <xdr:nvGrpSpPr>
        <xdr:cNvPr id="38" name="Gruppieren 3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GrpSpPr>
          <a:grpSpLocks/>
        </xdr:cNvGrpSpPr>
      </xdr:nvGrpSpPr>
      <xdr:grpSpPr>
        <a:xfrm>
          <a:off x="7488577" y="4978150"/>
          <a:ext cx="180000" cy="172948"/>
          <a:chOff x="12020550" y="2171700"/>
          <a:chExt cx="324000" cy="325465"/>
        </a:xfrm>
      </xdr:grpSpPr>
      <xdr:sp macro="" textlink="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0900-000027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0" name="Pfeil nach rechts 39">
            <a:extLst>
              <a:ext uri="{FF2B5EF4-FFF2-40B4-BE49-F238E27FC236}">
                <a16:creationId xmlns:a16="http://schemas.microsoft.com/office/drawing/2014/main" id="{00000000-0008-0000-0900-000028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11</xdr:col>
      <xdr:colOff>390526</xdr:colOff>
      <xdr:row>1</xdr:row>
      <xdr:rowOff>47625</xdr:rowOff>
    </xdr:from>
    <xdr:to>
      <xdr:col>11</xdr:col>
      <xdr:colOff>1070588</xdr:colOff>
      <xdr:row>1</xdr:row>
      <xdr:rowOff>220573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pSpPr/>
      </xdr:nvGrpSpPr>
      <xdr:grpSpPr>
        <a:xfrm>
          <a:off x="6974206" y="619125"/>
          <a:ext cx="680062" cy="172948"/>
          <a:chOff x="6791326" y="619125"/>
          <a:chExt cx="680062" cy="180000"/>
        </a:xfrm>
      </xdr:grpSpPr>
      <xdr:grpSp>
        <xdr:nvGrpSpPr>
          <xdr:cNvPr id="21" name="Gruppieren 47">
            <a:hlinkClick xmlns:r="http://schemas.openxmlformats.org/officeDocument/2006/relationships" r:id="rId8" tooltip="Help"/>
            <a:extLst>
              <a:ext uri="{FF2B5EF4-FFF2-40B4-BE49-F238E27FC236}">
                <a16:creationId xmlns:a16="http://schemas.microsoft.com/office/drawing/2014/main" id="{00000000-0008-0000-0900-000015000000}"/>
              </a:ext>
            </a:extLst>
          </xdr:cNvPr>
          <xdr:cNvGrpSpPr>
            <a:grpSpLocks/>
          </xdr:cNvGrpSpPr>
        </xdr:nvGrpSpPr>
        <xdr:grpSpPr>
          <a:xfrm>
            <a:off x="7291388" y="619125"/>
            <a:ext cx="180000" cy="180000"/>
            <a:chOff x="8105775" y="571500"/>
            <a:chExt cx="172800" cy="172800"/>
          </a:xfrm>
        </xdr:grpSpPr>
        <xdr:sp macro="" textlink="">
          <xdr:nvSpPr>
            <xdr:cNvPr id="22" name="Rechteck 48">
              <a:extLst>
                <a:ext uri="{FF2B5EF4-FFF2-40B4-BE49-F238E27FC236}">
                  <a16:creationId xmlns:a16="http://schemas.microsoft.com/office/drawing/2014/main" id="{00000000-0008-0000-0900-000016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32" name="Textfeld 49">
              <a:extLst>
                <a:ext uri="{FF2B5EF4-FFF2-40B4-BE49-F238E27FC236}">
                  <a16:creationId xmlns:a16="http://schemas.microsoft.com/office/drawing/2014/main" id="{00000000-0008-0000-0900-000020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xdr:sp macro="[0]!Register_ein" textlink="">
        <xdr:nvSpPr>
          <xdr:cNvPr id="33" name="Rechteck 78">
            <a:extLst>
              <a:ext uri="{FF2B5EF4-FFF2-40B4-BE49-F238E27FC236}">
                <a16:creationId xmlns:a16="http://schemas.microsoft.com/office/drawing/2014/main" id="{00000000-0008-0000-0900-000021000000}"/>
              </a:ext>
            </a:extLst>
          </xdr:cNvPr>
          <xdr:cNvSpPr>
            <a:spLocks noChangeAspect="1"/>
          </xdr:cNvSpPr>
        </xdr:nvSpPr>
        <xdr:spPr>
          <a:xfrm>
            <a:off x="6791326" y="619125"/>
            <a:ext cx="189667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6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+</a:t>
            </a:r>
          </a:p>
        </xdr:txBody>
      </xdr:sp>
      <xdr:sp macro="[0]!Register_aus" textlink="">
        <xdr:nvSpPr>
          <xdr:cNvPr id="34" name="Rechteck 84">
            <a:extLst>
              <a:ext uri="{FF2B5EF4-FFF2-40B4-BE49-F238E27FC236}">
                <a16:creationId xmlns:a16="http://schemas.microsoft.com/office/drawing/2014/main" id="{00000000-0008-0000-0900-000022000000}"/>
              </a:ext>
            </a:extLst>
          </xdr:cNvPr>
          <xdr:cNvSpPr>
            <a:spLocks noChangeAspect="1"/>
          </xdr:cNvSpPr>
        </xdr:nvSpPr>
        <xdr:spPr>
          <a:xfrm>
            <a:off x="7011353" y="619125"/>
            <a:ext cx="17919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8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-</a:t>
            </a:r>
          </a:p>
        </xdr:txBody>
      </xdr:sp>
    </xdr:grpSp>
    <xdr:clientData fPrintsWithSheet="0"/>
  </xdr:twoCellAnchor>
  <xdr:twoCellAnchor>
    <xdr:from>
      <xdr:col>11</xdr:col>
      <xdr:colOff>904897</xdr:colOff>
      <xdr:row>15</xdr:row>
      <xdr:rowOff>4657</xdr:rowOff>
    </xdr:from>
    <xdr:to>
      <xdr:col>11</xdr:col>
      <xdr:colOff>1084897</xdr:colOff>
      <xdr:row>16</xdr:row>
      <xdr:rowOff>3682</xdr:rowOff>
    </xdr:to>
    <xdr:grpSp>
      <xdr:nvGrpSpPr>
        <xdr:cNvPr id="18" name="Gruppieren 37">
          <a:hlinkClick xmlns:r="http://schemas.openxmlformats.org/officeDocument/2006/relationships" r:id="rId9" tooltip="Objectifs"/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GrpSpPr>
          <a:grpSpLocks/>
        </xdr:cNvGrpSpPr>
      </xdr:nvGrpSpPr>
      <xdr:grpSpPr>
        <a:xfrm>
          <a:off x="7488577" y="3517477"/>
          <a:ext cx="180000" cy="181905"/>
          <a:chOff x="12020550" y="2171700"/>
          <a:chExt cx="324000" cy="325465"/>
        </a:xfrm>
      </xdr:grpSpPr>
      <xdr:sp macro="" textlink="">
        <xdr:nvSpPr>
          <xdr:cNvPr id="20" name="Rechteck 38">
            <a:extLst>
              <a:ext uri="{FF2B5EF4-FFF2-40B4-BE49-F238E27FC236}">
                <a16:creationId xmlns:a16="http://schemas.microsoft.com/office/drawing/2014/main" id="{00000000-0008-0000-0900-000014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" name="Pfeil nach rechts 39">
            <a:extLst>
              <a:ext uri="{FF2B5EF4-FFF2-40B4-BE49-F238E27FC236}">
                <a16:creationId xmlns:a16="http://schemas.microsoft.com/office/drawing/2014/main" id="{00000000-0008-0000-0900-000017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7</xdr:col>
      <xdr:colOff>19050</xdr:colOff>
      <xdr:row>25</xdr:row>
      <xdr:rowOff>19048</xdr:rowOff>
    </xdr:from>
    <xdr:to>
      <xdr:col>8</xdr:col>
      <xdr:colOff>790575</xdr:colOff>
      <xdr:row>30</xdr:row>
      <xdr:rowOff>9523</xdr:rowOff>
    </xdr:to>
    <xdr:sp macro="" textlink="">
      <xdr:nvSpPr>
        <xdr:cNvPr id="51" name="Rechteck 50">
          <a:hlinkClick xmlns:r="http://schemas.openxmlformats.org/officeDocument/2006/relationships" r:id="rId10" tooltip="Goto Team"/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/>
      </xdr:nvSpPr>
      <xdr:spPr>
        <a:xfrm>
          <a:off x="4133850" y="5524498"/>
          <a:ext cx="1019175" cy="94297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>
    <xdr:from>
      <xdr:col>8</xdr:col>
      <xdr:colOff>809625</xdr:colOff>
      <xdr:row>25</xdr:row>
      <xdr:rowOff>0</xdr:rowOff>
    </xdr:from>
    <xdr:to>
      <xdr:col>9</xdr:col>
      <xdr:colOff>1000125</xdr:colOff>
      <xdr:row>30</xdr:row>
      <xdr:rowOff>9524</xdr:rowOff>
    </xdr:to>
    <xdr:sp macro="" textlink="">
      <xdr:nvSpPr>
        <xdr:cNvPr id="52" name="Rechteck 51">
          <a:hlinkClick xmlns:r="http://schemas.openxmlformats.org/officeDocument/2006/relationships" r:id="rId7" tooltip="Goto budget"/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/>
      </xdr:nvSpPr>
      <xdr:spPr>
        <a:xfrm>
          <a:off x="5172075" y="5505450"/>
          <a:ext cx="1019175" cy="962024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>
    <xdr:from>
      <xdr:col>10</xdr:col>
      <xdr:colOff>152400</xdr:colOff>
      <xdr:row>25</xdr:row>
      <xdr:rowOff>9525</xdr:rowOff>
    </xdr:from>
    <xdr:to>
      <xdr:col>12</xdr:col>
      <xdr:colOff>19050</xdr:colOff>
      <xdr:row>30</xdr:row>
      <xdr:rowOff>19049</xdr:rowOff>
    </xdr:to>
    <xdr:sp macro="" textlink="">
      <xdr:nvSpPr>
        <xdr:cNvPr id="53" name="Rechteck 52">
          <a:hlinkClick xmlns:r="http://schemas.openxmlformats.org/officeDocument/2006/relationships" r:id="rId7" tooltip="Goto budget"/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/>
      </xdr:nvSpPr>
      <xdr:spPr>
        <a:xfrm>
          <a:off x="6381750" y="5514975"/>
          <a:ext cx="1133475" cy="962024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3</xdr:col>
      <xdr:colOff>304800</xdr:colOff>
      <xdr:row>30</xdr:row>
      <xdr:rowOff>9524</xdr:rowOff>
    </xdr:to>
    <xdr:sp macro="" textlink="">
      <xdr:nvSpPr>
        <xdr:cNvPr id="54" name="Rechteck 53">
          <a:hlinkClick xmlns:r="http://schemas.openxmlformats.org/officeDocument/2006/relationships" r:id="rId7" tooltip="Goto budget"/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/>
      </xdr:nvSpPr>
      <xdr:spPr>
        <a:xfrm>
          <a:off x="466725" y="5505450"/>
          <a:ext cx="1485900" cy="962024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CH" sz="1100" baseline="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90488</xdr:colOff>
      <xdr:row>4</xdr:row>
      <xdr:rowOff>4763</xdr:rowOff>
    </xdr:from>
    <xdr:to>
      <xdr:col>1</xdr:col>
      <xdr:colOff>396488</xdr:colOff>
      <xdr:row>4</xdr:row>
      <xdr:rowOff>309564</xdr:rowOff>
    </xdr:to>
    <xdr:grpSp>
      <xdr:nvGrpSpPr>
        <xdr:cNvPr id="2" name="Gruppieren 40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pSpPr>
          <a:grpSpLocks noChangeAspect="1"/>
        </xdr:cNvGrpSpPr>
      </xdr:nvGrpSpPr>
      <xdr:grpSpPr>
        <a:xfrm>
          <a:off x="98108" y="881063"/>
          <a:ext cx="306000" cy="304801"/>
          <a:chOff x="9191625" y="3009900"/>
          <a:chExt cx="324000" cy="325465"/>
        </a:xfrm>
      </xdr:grpSpPr>
      <xdr:sp macro="" textlink="">
        <xdr:nvSpPr>
          <xdr:cNvPr id="3" name="Rechteck 41">
            <a:extLst>
              <a:ext uri="{FF2B5EF4-FFF2-40B4-BE49-F238E27FC236}">
                <a16:creationId xmlns:a16="http://schemas.microsoft.com/office/drawing/2014/main" id="{00000000-0008-0000-1300-00000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Pfeil nach links 42">
            <a:extLst>
              <a:ext uri="{FF2B5EF4-FFF2-40B4-BE49-F238E27FC236}">
                <a16:creationId xmlns:a16="http://schemas.microsoft.com/office/drawing/2014/main" id="{00000000-0008-0000-1300-00000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90488</xdr:colOff>
      <xdr:row>15</xdr:row>
      <xdr:rowOff>0</xdr:rowOff>
    </xdr:from>
    <xdr:to>
      <xdr:col>1</xdr:col>
      <xdr:colOff>396488</xdr:colOff>
      <xdr:row>15</xdr:row>
      <xdr:rowOff>304801</xdr:rowOff>
    </xdr:to>
    <xdr:grpSp>
      <xdr:nvGrpSpPr>
        <xdr:cNvPr id="5" name="Gruppieren 40">
          <a:hlinkClick xmlns:r="http://schemas.openxmlformats.org/officeDocument/2006/relationships" r:id="rId2" tooltip="back"/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GrpSpPr>
          <a:grpSpLocks noChangeAspect="1"/>
        </xdr:cNvGrpSpPr>
      </xdr:nvGrpSpPr>
      <xdr:grpSpPr>
        <a:xfrm>
          <a:off x="98108" y="3939540"/>
          <a:ext cx="306000" cy="304801"/>
          <a:chOff x="9191625" y="3009900"/>
          <a:chExt cx="324000" cy="325465"/>
        </a:xfrm>
      </xdr:grpSpPr>
      <xdr:sp macro="" textlink="">
        <xdr:nvSpPr>
          <xdr:cNvPr id="6" name="Rechteck 4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links 42">
            <a:extLst>
              <a:ext uri="{FF2B5EF4-FFF2-40B4-BE49-F238E27FC236}">
                <a16:creationId xmlns:a16="http://schemas.microsoft.com/office/drawing/2014/main" id="{00000000-0008-0000-1300-00000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90488</xdr:colOff>
      <xdr:row>26</xdr:row>
      <xdr:rowOff>0</xdr:rowOff>
    </xdr:from>
    <xdr:to>
      <xdr:col>1</xdr:col>
      <xdr:colOff>396488</xdr:colOff>
      <xdr:row>26</xdr:row>
      <xdr:rowOff>304801</xdr:rowOff>
    </xdr:to>
    <xdr:grpSp>
      <xdr:nvGrpSpPr>
        <xdr:cNvPr id="8" name="Gruppieren 40">
          <a:hlinkClick xmlns:r="http://schemas.openxmlformats.org/officeDocument/2006/relationships" r:id="rId3" tooltip="back"/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GrpSpPr>
          <a:grpSpLocks noChangeAspect="1"/>
        </xdr:cNvGrpSpPr>
      </xdr:nvGrpSpPr>
      <xdr:grpSpPr>
        <a:xfrm>
          <a:off x="98108" y="7132320"/>
          <a:ext cx="306000" cy="304801"/>
          <a:chOff x="9191625" y="3009900"/>
          <a:chExt cx="324000" cy="325465"/>
        </a:xfrm>
      </xdr:grpSpPr>
      <xdr:sp macro="" textlink="">
        <xdr:nvSpPr>
          <xdr:cNvPr id="9" name="Rechteck 41">
            <a:extLst>
              <a:ext uri="{FF2B5EF4-FFF2-40B4-BE49-F238E27FC236}">
                <a16:creationId xmlns:a16="http://schemas.microsoft.com/office/drawing/2014/main" id="{00000000-0008-0000-1300-00000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links 42">
            <a:extLst>
              <a:ext uri="{FF2B5EF4-FFF2-40B4-BE49-F238E27FC236}">
                <a16:creationId xmlns:a16="http://schemas.microsoft.com/office/drawing/2014/main" id="{00000000-0008-0000-1300-00000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0</xdr:colOff>
      <xdr:row>37</xdr:row>
      <xdr:rowOff>0</xdr:rowOff>
    </xdr:from>
    <xdr:to>
      <xdr:col>1</xdr:col>
      <xdr:colOff>306000</xdr:colOff>
      <xdr:row>37</xdr:row>
      <xdr:rowOff>304801</xdr:rowOff>
    </xdr:to>
    <xdr:grpSp>
      <xdr:nvGrpSpPr>
        <xdr:cNvPr id="11" name="Gruppieren 40">
          <a:hlinkClick xmlns:r="http://schemas.openxmlformats.org/officeDocument/2006/relationships" r:id="rId4" tooltip="back"/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GrpSpPr>
          <a:grpSpLocks noChangeAspect="1"/>
        </xdr:cNvGrpSpPr>
      </xdr:nvGrpSpPr>
      <xdr:grpSpPr>
        <a:xfrm>
          <a:off x="7620" y="10195560"/>
          <a:ext cx="306000" cy="304801"/>
          <a:chOff x="9191625" y="3009900"/>
          <a:chExt cx="324000" cy="325465"/>
        </a:xfrm>
      </xdr:grpSpPr>
      <xdr:sp macro="" textlink="">
        <xdr:nvSpPr>
          <xdr:cNvPr id="12" name="Rechteck 41">
            <a:extLst>
              <a:ext uri="{FF2B5EF4-FFF2-40B4-BE49-F238E27FC236}">
                <a16:creationId xmlns:a16="http://schemas.microsoft.com/office/drawing/2014/main" id="{00000000-0008-0000-1300-00000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links 42">
            <a:extLst>
              <a:ext uri="{FF2B5EF4-FFF2-40B4-BE49-F238E27FC236}">
                <a16:creationId xmlns:a16="http://schemas.microsoft.com/office/drawing/2014/main" id="{00000000-0008-0000-1300-00000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90488</xdr:colOff>
      <xdr:row>48</xdr:row>
      <xdr:rowOff>0</xdr:rowOff>
    </xdr:from>
    <xdr:to>
      <xdr:col>1</xdr:col>
      <xdr:colOff>396488</xdr:colOff>
      <xdr:row>48</xdr:row>
      <xdr:rowOff>304801</xdr:rowOff>
    </xdr:to>
    <xdr:grpSp>
      <xdr:nvGrpSpPr>
        <xdr:cNvPr id="14" name="Gruppieren 40">
          <a:hlinkClick xmlns:r="http://schemas.openxmlformats.org/officeDocument/2006/relationships" r:id="rId5" tooltip="back"/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GrpSpPr>
          <a:grpSpLocks noChangeAspect="1"/>
        </xdr:cNvGrpSpPr>
      </xdr:nvGrpSpPr>
      <xdr:grpSpPr>
        <a:xfrm>
          <a:off x="98108" y="13335000"/>
          <a:ext cx="306000" cy="304801"/>
          <a:chOff x="9191625" y="3009900"/>
          <a:chExt cx="324000" cy="325465"/>
        </a:xfrm>
      </xdr:grpSpPr>
      <xdr:sp macro="" textlink="">
        <xdr:nvSpPr>
          <xdr:cNvPr id="15" name="Rechteck 41">
            <a:extLst>
              <a:ext uri="{FF2B5EF4-FFF2-40B4-BE49-F238E27FC236}">
                <a16:creationId xmlns:a16="http://schemas.microsoft.com/office/drawing/2014/main" id="{00000000-0008-0000-1300-00000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" name="Pfeil nach links 42">
            <a:extLst>
              <a:ext uri="{FF2B5EF4-FFF2-40B4-BE49-F238E27FC236}">
                <a16:creationId xmlns:a16="http://schemas.microsoft.com/office/drawing/2014/main" id="{00000000-0008-0000-1300-00001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90488</xdr:colOff>
      <xdr:row>59</xdr:row>
      <xdr:rowOff>0</xdr:rowOff>
    </xdr:from>
    <xdr:to>
      <xdr:col>1</xdr:col>
      <xdr:colOff>396488</xdr:colOff>
      <xdr:row>59</xdr:row>
      <xdr:rowOff>304801</xdr:rowOff>
    </xdr:to>
    <xdr:grpSp>
      <xdr:nvGrpSpPr>
        <xdr:cNvPr id="17" name="Gruppieren 40">
          <a:hlinkClick xmlns:r="http://schemas.openxmlformats.org/officeDocument/2006/relationships" r:id="rId6" tooltip="back"/>
          <a:extLst>
            <a:ext uri="{FF2B5EF4-FFF2-40B4-BE49-F238E27FC236}">
              <a16:creationId xmlns:a16="http://schemas.microsoft.com/office/drawing/2014/main" id="{00000000-0008-0000-1300-000011000000}"/>
            </a:ext>
          </a:extLst>
        </xdr:cNvPr>
        <xdr:cNvGrpSpPr>
          <a:grpSpLocks noChangeAspect="1"/>
        </xdr:cNvGrpSpPr>
      </xdr:nvGrpSpPr>
      <xdr:grpSpPr>
        <a:xfrm>
          <a:off x="98108" y="16398240"/>
          <a:ext cx="306000" cy="304801"/>
          <a:chOff x="9191625" y="3009900"/>
          <a:chExt cx="324000" cy="325465"/>
        </a:xfrm>
      </xdr:grpSpPr>
      <xdr:sp macro="" textlink="">
        <xdr:nvSpPr>
          <xdr:cNvPr id="18" name="Rechteck 41">
            <a:extLst>
              <a:ext uri="{FF2B5EF4-FFF2-40B4-BE49-F238E27FC236}">
                <a16:creationId xmlns:a16="http://schemas.microsoft.com/office/drawing/2014/main" id="{00000000-0008-0000-1300-00001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" name="Pfeil nach links 42">
            <a:extLst>
              <a:ext uri="{FF2B5EF4-FFF2-40B4-BE49-F238E27FC236}">
                <a16:creationId xmlns:a16="http://schemas.microsoft.com/office/drawing/2014/main" id="{00000000-0008-0000-1300-00001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57150</xdr:colOff>
      <xdr:row>0</xdr:row>
      <xdr:rowOff>180975</xdr:rowOff>
    </xdr:from>
    <xdr:to>
      <xdr:col>1</xdr:col>
      <xdr:colOff>381150</xdr:colOff>
      <xdr:row>0</xdr:row>
      <xdr:rowOff>506440</xdr:rowOff>
    </xdr:to>
    <xdr:grpSp>
      <xdr:nvGrpSpPr>
        <xdr:cNvPr id="20" name="Gruppieren 50">
          <a:hlinkClick xmlns:r="http://schemas.openxmlformats.org/officeDocument/2006/relationships" r:id="rId7" tooltip="Home"/>
          <a:extLst>
            <a:ext uri="{FF2B5EF4-FFF2-40B4-BE49-F238E27FC236}">
              <a16:creationId xmlns:a16="http://schemas.microsoft.com/office/drawing/2014/main" id="{00000000-0008-0000-1300-000014000000}"/>
            </a:ext>
          </a:extLst>
        </xdr:cNvPr>
        <xdr:cNvGrpSpPr/>
      </xdr:nvGrpSpPr>
      <xdr:grpSpPr>
        <a:xfrm>
          <a:off x="64770" y="180975"/>
          <a:ext cx="324000" cy="325465"/>
          <a:chOff x="12729063" y="1298331"/>
          <a:chExt cx="324000" cy="323267"/>
        </a:xfrm>
      </xdr:grpSpPr>
      <xdr:sp macro="" textlink="">
        <xdr:nvSpPr>
          <xdr:cNvPr id="21" name="Rechteck 51">
            <a:extLst>
              <a:ext uri="{FF2B5EF4-FFF2-40B4-BE49-F238E27FC236}">
                <a16:creationId xmlns:a16="http://schemas.microsoft.com/office/drawing/2014/main" id="{00000000-0008-0000-1300-000015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2" name="Grafik 52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300-00001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378283</xdr:colOff>
      <xdr:row>27</xdr:row>
      <xdr:rowOff>37657</xdr:rowOff>
    </xdr:from>
    <xdr:to>
      <xdr:col>4</xdr:col>
      <xdr:colOff>682857</xdr:colOff>
      <xdr:row>37</xdr:row>
      <xdr:rowOff>132157</xdr:rowOff>
    </xdr:to>
    <xdr:sp macro="" textlink="">
      <xdr:nvSpPr>
        <xdr:cNvPr id="11" name="Rechteck 10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SpPr>
          <a:spLocks noChangeAspect="1"/>
        </xdr:cNvSpPr>
      </xdr:nvSpPr>
      <xdr:spPr>
        <a:xfrm>
          <a:off x="1149808" y="7695757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378283</xdr:colOff>
      <xdr:row>37</xdr:row>
      <xdr:rowOff>179307</xdr:rowOff>
    </xdr:from>
    <xdr:to>
      <xdr:col>4</xdr:col>
      <xdr:colOff>682857</xdr:colOff>
      <xdr:row>47</xdr:row>
      <xdr:rowOff>273807</xdr:rowOff>
    </xdr:to>
    <xdr:sp macro="" textlink="">
      <xdr:nvSpPr>
        <xdr:cNvPr id="12" name="Rechteck 11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SpPr>
          <a:spLocks noChangeAspect="1"/>
        </xdr:cNvSpPr>
      </xdr:nvSpPr>
      <xdr:spPr>
        <a:xfrm>
          <a:off x="1149808" y="10694907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715488</xdr:colOff>
      <xdr:row>27</xdr:row>
      <xdr:rowOff>37657</xdr:rowOff>
    </xdr:from>
    <xdr:to>
      <xdr:col>7</xdr:col>
      <xdr:colOff>23298</xdr:colOff>
      <xdr:row>37</xdr:row>
      <xdr:rowOff>132157</xdr:rowOff>
    </xdr:to>
    <xdr:sp macro="" textlink="">
      <xdr:nvSpPr>
        <xdr:cNvPr id="13" name="Rechteck 12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SpPr>
          <a:spLocks noChangeAspect="1"/>
        </xdr:cNvSpPr>
      </xdr:nvSpPr>
      <xdr:spPr>
        <a:xfrm>
          <a:off x="4134963" y="7695757"/>
          <a:ext cx="2955885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715488</xdr:colOff>
      <xdr:row>37</xdr:row>
      <xdr:rowOff>179307</xdr:rowOff>
    </xdr:from>
    <xdr:to>
      <xdr:col>7</xdr:col>
      <xdr:colOff>23298</xdr:colOff>
      <xdr:row>47</xdr:row>
      <xdr:rowOff>273807</xdr:rowOff>
    </xdr:to>
    <xdr:sp macro="" textlink="">
      <xdr:nvSpPr>
        <xdr:cNvPr id="14" name="Rechteck 13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SpPr>
          <a:spLocks noChangeAspect="1"/>
        </xdr:cNvSpPr>
      </xdr:nvSpPr>
      <xdr:spPr>
        <a:xfrm>
          <a:off x="4134963" y="10694907"/>
          <a:ext cx="2955885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29420</xdr:colOff>
      <xdr:row>32</xdr:row>
      <xdr:rowOff>152398</xdr:rowOff>
    </xdr:from>
    <xdr:to>
      <xdr:col>2</xdr:col>
      <xdr:colOff>67406</xdr:colOff>
      <xdr:row>42</xdr:row>
      <xdr:rowOff>178117</xdr:rowOff>
    </xdr:to>
    <xdr:sp macro="" textlink="' '!A469">
      <xdr:nvSpPr>
        <xdr:cNvPr id="15" name="Textfeld 14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SpPr txBox="1"/>
      </xdr:nvSpPr>
      <xdr:spPr>
        <a:xfrm rot="16200000">
          <a:off x="-774072" y="10509465"/>
          <a:ext cx="2883219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fld id="{2DA9C743-30BD-413F-AE64-74D4B887D6C9}" type="TxLink">
            <a:rPr lang="en-US" sz="1600" b="1">
              <a:solidFill>
                <a:schemeClr val="tx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Influence des parties prenantes</a:t>
          </a:fld>
          <a:endParaRPr lang="de-CH" sz="1600" b="1">
            <a:solidFill>
              <a:schemeClr val="tx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43027</xdr:colOff>
      <xdr:row>49</xdr:row>
      <xdr:rowOff>28178</xdr:rowOff>
    </xdr:from>
    <xdr:to>
      <xdr:col>5</xdr:col>
      <xdr:colOff>1285875</xdr:colOff>
      <xdr:row>51</xdr:row>
      <xdr:rowOff>75689</xdr:rowOff>
    </xdr:to>
    <xdr:sp macro="" textlink="' '!A472">
      <xdr:nvSpPr>
        <xdr:cNvPr id="16" name="Textfeld 15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SpPr txBox="1"/>
      </xdr:nvSpPr>
      <xdr:spPr>
        <a:xfrm>
          <a:off x="2748127" y="13972778"/>
          <a:ext cx="274779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A9BA0FD0-6046-44F4-AE26-541F283D18F6}" type="TxLink">
            <a:rPr lang="en-US" sz="1600" b="1">
              <a:solidFill>
                <a:schemeClr val="tx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Intérêt des parties prenantes</a:t>
          </a:fld>
          <a:endParaRPr lang="de-CH" sz="1600" b="1">
            <a:solidFill>
              <a:schemeClr val="tx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121017</xdr:colOff>
      <xdr:row>27</xdr:row>
      <xdr:rowOff>56349</xdr:rowOff>
    </xdr:from>
    <xdr:to>
      <xdr:col>2</xdr:col>
      <xdr:colOff>127713</xdr:colOff>
      <xdr:row>29</xdr:row>
      <xdr:rowOff>200024</xdr:rowOff>
    </xdr:to>
    <xdr:sp macro="" textlink="' '!A467">
      <xdr:nvSpPr>
        <xdr:cNvPr id="17" name="Textfeld 16">
          <a:extLst>
            <a:ext uri="{FF2B5EF4-FFF2-40B4-BE49-F238E27FC236}">
              <a16:creationId xmlns:a16="http://schemas.microsoft.com/office/drawing/2014/main" id="{00000000-0008-0000-1400-000011000000}"/>
            </a:ext>
          </a:extLst>
        </xdr:cNvPr>
        <xdr:cNvSpPr txBox="1"/>
      </xdr:nvSpPr>
      <xdr:spPr>
        <a:xfrm rot="16200000">
          <a:off x="385902" y="7916289"/>
          <a:ext cx="71517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indent="0" algn="ctr"/>
          <a:fld id="{28D2090C-DC23-4102-84F9-7287D5A1F63B}" type="TxLink">
            <a:rPr lang="en-US" sz="1400" b="0">
              <a:solidFill>
                <a:schemeClr val="tx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grande</a:t>
          </a:fld>
          <a:endParaRPr lang="de-CH" sz="1400" b="0">
            <a:solidFill>
              <a:schemeClr val="tx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130542</xdr:colOff>
      <xdr:row>46</xdr:row>
      <xdr:rowOff>25396</xdr:rowOff>
    </xdr:from>
    <xdr:to>
      <xdr:col>2</xdr:col>
      <xdr:colOff>137238</xdr:colOff>
      <xdr:row>48</xdr:row>
      <xdr:rowOff>95034</xdr:rowOff>
    </xdr:to>
    <xdr:sp macro="" textlink="' '!A470">
      <xdr:nvSpPr>
        <xdr:cNvPr id="18" name="Textfeld 17">
          <a:extLst>
            <a:ext uri="{FF2B5EF4-FFF2-40B4-BE49-F238E27FC236}">
              <a16:creationId xmlns:a16="http://schemas.microsoft.com/office/drawing/2014/main" id="{00000000-0008-0000-1400-000012000000}"/>
            </a:ext>
          </a:extLst>
        </xdr:cNvPr>
        <xdr:cNvSpPr txBox="1"/>
      </xdr:nvSpPr>
      <xdr:spPr>
        <a:xfrm rot="16200000">
          <a:off x="432446" y="13277567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indent="0"/>
          <a:fld id="{A5AFF449-719F-457A-AD0F-0FFF746AAD4E}" type="TxLink">
            <a:rPr lang="en-US" sz="1400" b="0">
              <a:solidFill>
                <a:schemeClr val="tx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/>
            <a:t>petite</a:t>
          </a:fld>
          <a:endParaRPr lang="de-CH" sz="1400" b="0">
            <a:solidFill>
              <a:schemeClr val="tx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6</xdr:col>
      <xdr:colOff>60883</xdr:colOff>
      <xdr:row>48</xdr:row>
      <xdr:rowOff>225032</xdr:rowOff>
    </xdr:from>
    <xdr:to>
      <xdr:col>7</xdr:col>
      <xdr:colOff>9525</xdr:colOff>
      <xdr:row>49</xdr:row>
      <xdr:rowOff>250778</xdr:rowOff>
    </xdr:to>
    <xdr:sp macro="" textlink="' '!A468">
      <xdr:nvSpPr>
        <xdr:cNvPr id="19" name="Textfeld 18">
          <a:extLst>
            <a:ext uri="{FF2B5EF4-FFF2-40B4-BE49-F238E27FC236}">
              <a16:creationId xmlns:a16="http://schemas.microsoft.com/office/drawing/2014/main" id="{00000000-0008-0000-1400-000013000000}"/>
            </a:ext>
          </a:extLst>
        </xdr:cNvPr>
        <xdr:cNvSpPr txBox="1"/>
      </xdr:nvSpPr>
      <xdr:spPr>
        <a:xfrm>
          <a:off x="6385483" y="13883882"/>
          <a:ext cx="691592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fld id="{D00CBA45-252C-43C5-A54D-1A32B5937DDB}" type="TxLink">
            <a:rPr lang="en-US" sz="1400" b="0">
              <a:solidFill>
                <a:schemeClr val="tx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grand</a:t>
          </a:fld>
          <a:endParaRPr lang="de-CH" sz="1400" b="0">
            <a:solidFill>
              <a:schemeClr val="tx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334985</xdr:colOff>
      <xdr:row>48</xdr:row>
      <xdr:rowOff>225032</xdr:rowOff>
    </xdr:from>
    <xdr:to>
      <xdr:col>2</xdr:col>
      <xdr:colOff>976123</xdr:colOff>
      <xdr:row>49</xdr:row>
      <xdr:rowOff>250778</xdr:rowOff>
    </xdr:to>
    <xdr:sp macro="" textlink="' '!A471">
      <xdr:nvSpPr>
        <xdr:cNvPr id="20" name="Textfeld 19">
          <a:extLst>
            <a:ext uri="{FF2B5EF4-FFF2-40B4-BE49-F238E27FC236}">
              <a16:creationId xmlns:a16="http://schemas.microsoft.com/office/drawing/2014/main" id="{00000000-0008-0000-1400-000014000000}"/>
            </a:ext>
          </a:extLst>
        </xdr:cNvPr>
        <xdr:cNvSpPr txBox="1"/>
      </xdr:nvSpPr>
      <xdr:spPr>
        <a:xfrm>
          <a:off x="1106510" y="13883882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fld id="{75A562E3-1C90-49A1-A039-F6425A2CB95E}" type="TxLink">
            <a:rPr lang="en-US" sz="1400" b="0">
              <a:solidFill>
                <a:schemeClr val="tx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petit</a:t>
          </a:fld>
          <a:endParaRPr lang="de-CH" sz="1400" b="0">
            <a:solidFill>
              <a:schemeClr val="tx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228600</xdr:colOff>
      <xdr:row>53</xdr:row>
      <xdr:rowOff>247649</xdr:rowOff>
    </xdr:from>
    <xdr:to>
      <xdr:col>7</xdr:col>
      <xdr:colOff>95250</xdr:colOff>
      <xdr:row>75</xdr:row>
      <xdr:rowOff>220124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00000000-0008-0000-1400-000015000000}"/>
            </a:ext>
          </a:extLst>
        </xdr:cNvPr>
        <xdr:cNvSpPr>
          <a:spLocks/>
        </xdr:cNvSpPr>
      </xdr:nvSpPr>
      <xdr:spPr>
        <a:xfrm>
          <a:off x="1000125" y="15059024"/>
          <a:ext cx="6162675" cy="6258975"/>
        </a:xfrm>
        <a:prstGeom prst="ellipse">
          <a:avLst/>
        </a:prstGeom>
        <a:ln w="3175">
          <a:noFill/>
          <a:prstDash val="sysDot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1149937</xdr:colOff>
      <xdr:row>57</xdr:row>
      <xdr:rowOff>74136</xdr:rowOff>
    </xdr:from>
    <xdr:to>
      <xdr:col>5</xdr:col>
      <xdr:colOff>2031412</xdr:colOff>
      <xdr:row>72</xdr:row>
      <xdr:rowOff>107886</xdr:rowOff>
    </xdr:to>
    <xdr:sp macro="" textlink="">
      <xdr:nvSpPr>
        <xdr:cNvPr id="22" name="Ellipse 21">
          <a:extLst>
            <a:ext uri="{FF2B5EF4-FFF2-40B4-BE49-F238E27FC236}">
              <a16:creationId xmlns:a16="http://schemas.microsoft.com/office/drawing/2014/main" id="{00000000-0008-0000-1400-000016000000}"/>
            </a:ext>
          </a:extLst>
        </xdr:cNvPr>
        <xdr:cNvSpPr>
          <a:spLocks/>
        </xdr:cNvSpPr>
      </xdr:nvSpPr>
      <xdr:spPr>
        <a:xfrm>
          <a:off x="1921462" y="16028511"/>
          <a:ext cx="4320000" cy="4320000"/>
        </a:xfrm>
        <a:prstGeom prst="ellipse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116362</xdr:colOff>
      <xdr:row>60</xdr:row>
      <xdr:rowOff>116886</xdr:rowOff>
    </xdr:from>
    <xdr:to>
      <xdr:col>5</xdr:col>
      <xdr:colOff>1131412</xdr:colOff>
      <xdr:row>69</xdr:row>
      <xdr:rowOff>65136</xdr:rowOff>
    </xdr:to>
    <xdr:sp macro="" textlink="">
      <xdr:nvSpPr>
        <xdr:cNvPr id="23" name="Ellipse 22">
          <a:extLst>
            <a:ext uri="{FF2B5EF4-FFF2-40B4-BE49-F238E27FC236}">
              <a16:creationId xmlns:a16="http://schemas.microsoft.com/office/drawing/2014/main" id="{00000000-0008-0000-1400-000017000000}"/>
            </a:ext>
          </a:extLst>
        </xdr:cNvPr>
        <xdr:cNvSpPr>
          <a:spLocks/>
        </xdr:cNvSpPr>
      </xdr:nvSpPr>
      <xdr:spPr>
        <a:xfrm>
          <a:off x="2821462" y="16928511"/>
          <a:ext cx="2520000" cy="2520000"/>
        </a:xfrm>
        <a:prstGeom prst="ellipse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3</xdr:col>
      <xdr:colOff>358588</xdr:colOff>
      <xdr:row>58</xdr:row>
      <xdr:rowOff>7542</xdr:rowOff>
    </xdr:from>
    <xdr:ext cx="2095500" cy="311496"/>
    <xdr:sp macro="" textlink="' '!A461">
      <xdr:nvSpPr>
        <xdr:cNvPr id="24" name="Textfeld 23">
          <a:extLst>
            <a:ext uri="{FF2B5EF4-FFF2-40B4-BE49-F238E27FC236}">
              <a16:creationId xmlns:a16="http://schemas.microsoft.com/office/drawing/2014/main" id="{00000000-0008-0000-1400-000018000000}"/>
            </a:ext>
          </a:extLst>
        </xdr:cNvPr>
        <xdr:cNvSpPr txBox="1"/>
      </xdr:nvSpPr>
      <xdr:spPr>
        <a:xfrm>
          <a:off x="3063688" y="16247667"/>
          <a:ext cx="20955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93C19A5F-5B9A-458A-8718-D151F7AFECF2}" type="TxLink">
            <a:rPr lang="en-US" sz="1400" b="1">
              <a:solidFill>
                <a:schemeClr val="tx1">
                  <a:lumMod val="65000"/>
                  <a:lumOff val="35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Contexte restreint</a:t>
          </a:fld>
          <a:endParaRPr lang="de-CH" sz="1400" b="1">
            <a:solidFill>
              <a:schemeClr val="tx1">
                <a:lumMod val="65000"/>
                <a:lumOff val="35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2</xdr:col>
      <xdr:colOff>1664374</xdr:colOff>
      <xdr:row>58</xdr:row>
      <xdr:rowOff>226046</xdr:rowOff>
    </xdr:from>
    <xdr:to>
      <xdr:col>4</xdr:col>
      <xdr:colOff>686641</xdr:colOff>
      <xdr:row>63</xdr:row>
      <xdr:rowOff>213636</xdr:rowOff>
    </xdr:to>
    <xdr:cxnSp macro="">
      <xdr:nvCxnSpPr>
        <xdr:cNvPr id="25" name="Gekrümmte Verbindung 24">
          <a:extLst>
            <a:ext uri="{FF2B5EF4-FFF2-40B4-BE49-F238E27FC236}">
              <a16:creationId xmlns:a16="http://schemas.microsoft.com/office/drawing/2014/main" id="{00000000-0008-0000-1400-000019000000}"/>
            </a:ext>
          </a:extLst>
        </xdr:cNvPr>
        <xdr:cNvCxnSpPr>
          <a:stCxn id="69" idx="0"/>
          <a:endCxn id="37" idx="2"/>
        </xdr:cNvCxnSpPr>
      </xdr:nvCxnSpPr>
      <xdr:spPr>
        <a:xfrm rot="16200000" flipV="1">
          <a:off x="2562838" y="16339232"/>
          <a:ext cx="1416340" cy="1670217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738181</xdr:colOff>
      <xdr:row>65</xdr:row>
      <xdr:rowOff>162869</xdr:rowOff>
    </xdr:from>
    <xdr:to>
      <xdr:col>5</xdr:col>
      <xdr:colOff>111703</xdr:colOff>
      <xdr:row>71</xdr:row>
      <xdr:rowOff>172818</xdr:rowOff>
    </xdr:to>
    <xdr:cxnSp macro="">
      <xdr:nvCxnSpPr>
        <xdr:cNvPr id="26" name="Gekrümmte Verbindung 25">
          <a:extLst>
            <a:ext uri="{FF2B5EF4-FFF2-40B4-BE49-F238E27FC236}">
              <a16:creationId xmlns:a16="http://schemas.microsoft.com/office/drawing/2014/main" id="{00000000-0008-0000-1400-00001A000000}"/>
            </a:ext>
          </a:extLst>
        </xdr:cNvPr>
        <xdr:cNvCxnSpPr>
          <a:stCxn id="69" idx="5"/>
          <a:endCxn id="40" idx="0"/>
        </xdr:cNvCxnSpPr>
      </xdr:nvCxnSpPr>
      <xdr:spPr>
        <a:xfrm rot="5400000">
          <a:off x="3377480" y="19183420"/>
          <a:ext cx="1724449" cy="164097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1139153</xdr:colOff>
      <xdr:row>64</xdr:row>
      <xdr:rowOff>233886</xdr:rowOff>
    </xdr:from>
    <xdr:to>
      <xdr:col>4</xdr:col>
      <xdr:colOff>380642</xdr:colOff>
      <xdr:row>65</xdr:row>
      <xdr:rowOff>271199</xdr:rowOff>
    </xdr:to>
    <xdr:cxnSp macro="">
      <xdr:nvCxnSpPr>
        <xdr:cNvPr id="27" name="Gekrümmte Verbindung 26">
          <a:extLst>
            <a:ext uri="{FF2B5EF4-FFF2-40B4-BE49-F238E27FC236}">
              <a16:creationId xmlns:a16="http://schemas.microsoft.com/office/drawing/2014/main" id="{00000000-0008-0000-1400-00001B000000}"/>
            </a:ext>
          </a:extLst>
        </xdr:cNvPr>
        <xdr:cNvCxnSpPr>
          <a:stCxn id="69" idx="2"/>
          <a:endCxn id="42" idx="3"/>
        </xdr:cNvCxnSpPr>
      </xdr:nvCxnSpPr>
      <xdr:spPr>
        <a:xfrm rot="10800000" flipV="1">
          <a:off x="1910678" y="18188511"/>
          <a:ext cx="1889439" cy="323063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1494787</xdr:colOff>
      <xdr:row>62</xdr:row>
      <xdr:rowOff>290248</xdr:rowOff>
    </xdr:from>
    <xdr:to>
      <xdr:col>4</xdr:col>
      <xdr:colOff>689163</xdr:colOff>
      <xdr:row>63</xdr:row>
      <xdr:rowOff>213636</xdr:rowOff>
    </xdr:to>
    <xdr:cxnSp macro="">
      <xdr:nvCxnSpPr>
        <xdr:cNvPr id="28" name="Gekrümmte Verbindung 27">
          <a:extLst>
            <a:ext uri="{FF2B5EF4-FFF2-40B4-BE49-F238E27FC236}">
              <a16:creationId xmlns:a16="http://schemas.microsoft.com/office/drawing/2014/main" id="{00000000-0008-0000-1400-00001C000000}"/>
            </a:ext>
          </a:extLst>
        </xdr:cNvPr>
        <xdr:cNvCxnSpPr>
          <a:stCxn id="43" idx="3"/>
          <a:endCxn id="69" idx="0"/>
        </xdr:cNvCxnSpPr>
      </xdr:nvCxnSpPr>
      <xdr:spPr>
        <a:xfrm>
          <a:off x="2266312" y="17673373"/>
          <a:ext cx="1842326" cy="209138"/>
        </a:xfrm>
        <a:prstGeom prst="curvedConnector2">
          <a:avLst/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202066</xdr:colOff>
      <xdr:row>64</xdr:row>
      <xdr:rowOff>233886</xdr:rowOff>
    </xdr:from>
    <xdr:to>
      <xdr:col>5</xdr:col>
      <xdr:colOff>2027296</xdr:colOff>
      <xdr:row>64</xdr:row>
      <xdr:rowOff>266437</xdr:rowOff>
    </xdr:to>
    <xdr:cxnSp macro="">
      <xdr:nvCxnSpPr>
        <xdr:cNvPr id="29" name="Gekrümmte Verbindung 28">
          <a:extLst>
            <a:ext uri="{FF2B5EF4-FFF2-40B4-BE49-F238E27FC236}">
              <a16:creationId xmlns:a16="http://schemas.microsoft.com/office/drawing/2014/main" id="{00000000-0008-0000-1400-00001D000000}"/>
            </a:ext>
          </a:extLst>
        </xdr:cNvPr>
        <xdr:cNvCxnSpPr>
          <a:stCxn id="69" idx="6"/>
          <a:endCxn id="45" idx="1"/>
        </xdr:cNvCxnSpPr>
      </xdr:nvCxnSpPr>
      <xdr:spPr>
        <a:xfrm>
          <a:off x="4412116" y="18188511"/>
          <a:ext cx="1825230" cy="32551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536082</xdr:colOff>
      <xdr:row>65</xdr:row>
      <xdr:rowOff>254137</xdr:rowOff>
    </xdr:from>
    <xdr:to>
      <xdr:col>4</xdr:col>
      <xdr:colOff>689163</xdr:colOff>
      <xdr:row>73</xdr:row>
      <xdr:rowOff>239748</xdr:rowOff>
    </xdr:to>
    <xdr:cxnSp macro="">
      <xdr:nvCxnSpPr>
        <xdr:cNvPr id="30" name="Gekrümmte Verbindung 29">
          <a:extLst>
            <a:ext uri="{FF2B5EF4-FFF2-40B4-BE49-F238E27FC236}">
              <a16:creationId xmlns:a16="http://schemas.microsoft.com/office/drawing/2014/main" id="{00000000-0008-0000-1400-00001E000000}"/>
            </a:ext>
          </a:extLst>
        </xdr:cNvPr>
        <xdr:cNvCxnSpPr>
          <a:stCxn id="69" idx="4"/>
          <a:endCxn id="51" idx="0"/>
        </xdr:cNvCxnSpPr>
      </xdr:nvCxnSpPr>
      <xdr:spPr>
        <a:xfrm rot="5400000">
          <a:off x="2539104" y="19196590"/>
          <a:ext cx="2271611" cy="867456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111703</xdr:colOff>
      <xdr:row>65</xdr:row>
      <xdr:rowOff>162869</xdr:rowOff>
    </xdr:from>
    <xdr:to>
      <xdr:col>5</xdr:col>
      <xdr:colOff>1245505</xdr:colOff>
      <xdr:row>70</xdr:row>
      <xdr:rowOff>58771</xdr:rowOff>
    </xdr:to>
    <xdr:cxnSp macro="">
      <xdr:nvCxnSpPr>
        <xdr:cNvPr id="31" name="Gekrümmte Verbindung 30">
          <a:extLst>
            <a:ext uri="{FF2B5EF4-FFF2-40B4-BE49-F238E27FC236}">
              <a16:creationId xmlns:a16="http://schemas.microsoft.com/office/drawing/2014/main" id="{00000000-0008-0000-1400-00001F000000}"/>
            </a:ext>
          </a:extLst>
        </xdr:cNvPr>
        <xdr:cNvCxnSpPr>
          <a:stCxn id="69" idx="5"/>
          <a:endCxn id="50" idx="0"/>
        </xdr:cNvCxnSpPr>
      </xdr:nvCxnSpPr>
      <xdr:spPr>
        <a:xfrm rot="16200000" flipH="1">
          <a:off x="4226328" y="18498669"/>
          <a:ext cx="1324652" cy="1133802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206327</xdr:colOff>
      <xdr:row>63</xdr:row>
      <xdr:rowOff>259828</xdr:rowOff>
    </xdr:from>
    <xdr:to>
      <xdr:col>4</xdr:col>
      <xdr:colOff>380641</xdr:colOff>
      <xdr:row>64</xdr:row>
      <xdr:rowOff>233886</xdr:rowOff>
    </xdr:to>
    <xdr:cxnSp macro="">
      <xdr:nvCxnSpPr>
        <xdr:cNvPr id="32" name="Gekrümmte Verbindung 31">
          <a:extLst>
            <a:ext uri="{FF2B5EF4-FFF2-40B4-BE49-F238E27FC236}">
              <a16:creationId xmlns:a16="http://schemas.microsoft.com/office/drawing/2014/main" id="{00000000-0008-0000-1400-000020000000}"/>
            </a:ext>
          </a:extLst>
        </xdr:cNvPr>
        <xdr:cNvCxnSpPr>
          <a:stCxn id="46" idx="3"/>
          <a:endCxn id="69" idx="2"/>
        </xdr:cNvCxnSpPr>
      </xdr:nvCxnSpPr>
      <xdr:spPr>
        <a:xfrm>
          <a:off x="3625802" y="17928703"/>
          <a:ext cx="174314" cy="259808"/>
        </a:xfrm>
        <a:prstGeom prst="curvedConnector3">
          <a:avLst>
            <a:gd name="adj1" fmla="val 50000"/>
          </a:avLst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686641</xdr:colOff>
      <xdr:row>65</xdr:row>
      <xdr:rowOff>254135</xdr:rowOff>
    </xdr:from>
    <xdr:to>
      <xdr:col>6</xdr:col>
      <xdr:colOff>223341</xdr:colOff>
      <xdr:row>67</xdr:row>
      <xdr:rowOff>38302</xdr:rowOff>
    </xdr:to>
    <xdr:cxnSp macro="">
      <xdr:nvCxnSpPr>
        <xdr:cNvPr id="33" name="Gekrümmte Verbindung 32">
          <a:extLst>
            <a:ext uri="{FF2B5EF4-FFF2-40B4-BE49-F238E27FC236}">
              <a16:creationId xmlns:a16="http://schemas.microsoft.com/office/drawing/2014/main" id="{00000000-0008-0000-1400-000021000000}"/>
            </a:ext>
          </a:extLst>
        </xdr:cNvPr>
        <xdr:cNvCxnSpPr>
          <a:stCxn id="69" idx="4"/>
          <a:endCxn id="44" idx="0"/>
        </xdr:cNvCxnSpPr>
      </xdr:nvCxnSpPr>
      <xdr:spPr>
        <a:xfrm rot="16200000" flipH="1">
          <a:off x="5149195" y="17451431"/>
          <a:ext cx="355667" cy="2441825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681970</xdr:colOff>
      <xdr:row>64</xdr:row>
      <xdr:rowOff>233886</xdr:rowOff>
    </xdr:from>
    <xdr:to>
      <xdr:col>4</xdr:col>
      <xdr:colOff>380642</xdr:colOff>
      <xdr:row>66</xdr:row>
      <xdr:rowOff>61515</xdr:rowOff>
    </xdr:to>
    <xdr:cxnSp macro="">
      <xdr:nvCxnSpPr>
        <xdr:cNvPr id="34" name="Gekrümmte Verbindung 33">
          <a:extLst>
            <a:ext uri="{FF2B5EF4-FFF2-40B4-BE49-F238E27FC236}">
              <a16:creationId xmlns:a16="http://schemas.microsoft.com/office/drawing/2014/main" id="{00000000-0008-0000-1400-000022000000}"/>
            </a:ext>
          </a:extLst>
        </xdr:cNvPr>
        <xdr:cNvCxnSpPr>
          <a:stCxn id="38" idx="0"/>
          <a:endCxn id="69" idx="2"/>
        </xdr:cNvCxnSpPr>
      </xdr:nvCxnSpPr>
      <xdr:spPr>
        <a:xfrm rot="5400000" flipH="1" flipV="1">
          <a:off x="3394029" y="18181552"/>
          <a:ext cx="399129" cy="413047"/>
        </a:xfrm>
        <a:prstGeom prst="curvedConnector2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39477</xdr:colOff>
      <xdr:row>65</xdr:row>
      <xdr:rowOff>254136</xdr:rowOff>
    </xdr:from>
    <xdr:to>
      <xdr:col>4</xdr:col>
      <xdr:colOff>689163</xdr:colOff>
      <xdr:row>71</xdr:row>
      <xdr:rowOff>168270</xdr:rowOff>
    </xdr:to>
    <xdr:cxnSp macro="">
      <xdr:nvCxnSpPr>
        <xdr:cNvPr id="35" name="Gekrümmte Verbindung 34">
          <a:extLst>
            <a:ext uri="{FF2B5EF4-FFF2-40B4-BE49-F238E27FC236}">
              <a16:creationId xmlns:a16="http://schemas.microsoft.com/office/drawing/2014/main" id="{00000000-0008-0000-1400-000023000000}"/>
            </a:ext>
          </a:extLst>
        </xdr:cNvPr>
        <xdr:cNvCxnSpPr>
          <a:stCxn id="69" idx="4"/>
          <a:endCxn id="49" idx="3"/>
        </xdr:cNvCxnSpPr>
      </xdr:nvCxnSpPr>
      <xdr:spPr>
        <a:xfrm rot="5400000">
          <a:off x="2612291" y="18626797"/>
          <a:ext cx="1628634" cy="1364061"/>
        </a:xfrm>
        <a:prstGeom prst="curvedConnector2">
          <a:avLst/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567734</xdr:colOff>
      <xdr:row>68</xdr:row>
      <xdr:rowOff>85419</xdr:rowOff>
    </xdr:from>
    <xdr:to>
      <xdr:col>2</xdr:col>
      <xdr:colOff>1611734</xdr:colOff>
      <xdr:row>69</xdr:row>
      <xdr:rowOff>123669</xdr:rowOff>
    </xdr:to>
    <xdr:sp macro="" textlink="Stakeholder!C11">
      <xdr:nvSpPr>
        <xdr:cNvPr id="36" name="Textfeld 35" title="Key Partnership">
          <a:extLst>
            <a:ext uri="{FF2B5EF4-FFF2-40B4-BE49-F238E27FC236}">
              <a16:creationId xmlns:a16="http://schemas.microsoft.com/office/drawing/2014/main" id="{00000000-0008-0000-1400-000024000000}"/>
            </a:ext>
          </a:extLst>
        </xdr:cNvPr>
        <xdr:cNvSpPr txBox="1"/>
      </xdr:nvSpPr>
      <xdr:spPr>
        <a:xfrm>
          <a:off x="1339259" y="19183044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833C5CBB-692C-4F7F-B386-94B1DB6D1375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1142374</xdr:colOff>
      <xdr:row>57</xdr:row>
      <xdr:rowOff>187796</xdr:rowOff>
    </xdr:from>
    <xdr:to>
      <xdr:col>3</xdr:col>
      <xdr:colOff>252799</xdr:colOff>
      <xdr:row>58</xdr:row>
      <xdr:rowOff>226046</xdr:rowOff>
    </xdr:to>
    <xdr:sp macro="" textlink="Stakeholder!C13">
      <xdr:nvSpPr>
        <xdr:cNvPr id="37" name="Textfeld 36" title="Key Partnership">
          <a:extLst>
            <a:ext uri="{FF2B5EF4-FFF2-40B4-BE49-F238E27FC236}">
              <a16:creationId xmlns:a16="http://schemas.microsoft.com/office/drawing/2014/main" id="{00000000-0008-0000-1400-000025000000}"/>
            </a:ext>
          </a:extLst>
        </xdr:cNvPr>
        <xdr:cNvSpPr txBox="1"/>
      </xdr:nvSpPr>
      <xdr:spPr>
        <a:xfrm>
          <a:off x="1913899" y="16142171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5BD28CF4-5D5E-4F07-95A5-6E1B379B6BA7}" type="TxLink">
            <a:rPr lang="de-CH" sz="1000" b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 </a:t>
          </a:fld>
          <a:endParaRPr lang="de-CH" sz="1000" b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3</xdr:col>
      <xdr:colOff>158568</xdr:colOff>
      <xdr:row>66</xdr:row>
      <xdr:rowOff>61515</xdr:rowOff>
    </xdr:from>
    <xdr:to>
      <xdr:col>4</xdr:col>
      <xdr:colOff>488193</xdr:colOff>
      <xdr:row>67</xdr:row>
      <xdr:rowOff>99765</xdr:rowOff>
    </xdr:to>
    <xdr:sp macro="" textlink="Stakeholder!C9">
      <xdr:nvSpPr>
        <xdr:cNvPr id="38" name="Textfeld 37" title="Key Partnership">
          <a:extLst>
            <a:ext uri="{FF2B5EF4-FFF2-40B4-BE49-F238E27FC236}">
              <a16:creationId xmlns:a16="http://schemas.microsoft.com/office/drawing/2014/main" id="{00000000-0008-0000-1400-000026000000}"/>
            </a:ext>
          </a:extLst>
        </xdr:cNvPr>
        <xdr:cNvSpPr txBox="1"/>
      </xdr:nvSpPr>
      <xdr:spPr>
        <a:xfrm>
          <a:off x="2863668" y="18587640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6683D3F3-A34B-4644-A6BB-4565BAFD59E2}" type="TxLink">
            <a:rPr lang="de-CH" sz="1000" b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Groupe 4</a:t>
          </a:fld>
          <a:endParaRPr lang="de-CH" sz="1000" b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427121</xdr:colOff>
      <xdr:row>65</xdr:row>
      <xdr:rowOff>137726</xdr:rowOff>
    </xdr:from>
    <xdr:to>
      <xdr:col>5</xdr:col>
      <xdr:colOff>1471121</xdr:colOff>
      <xdr:row>66</xdr:row>
      <xdr:rowOff>175976</xdr:rowOff>
    </xdr:to>
    <xdr:sp macro="" textlink="Stakeholder!C7">
      <xdr:nvSpPr>
        <xdr:cNvPr id="39" name="Textfeld 38" title="Key Partnership">
          <a:extLst>
            <a:ext uri="{FF2B5EF4-FFF2-40B4-BE49-F238E27FC236}">
              <a16:creationId xmlns:a16="http://schemas.microsoft.com/office/drawing/2014/main" id="{00000000-0008-0000-1400-000027000000}"/>
            </a:ext>
          </a:extLst>
        </xdr:cNvPr>
        <xdr:cNvSpPr txBox="1"/>
      </xdr:nvSpPr>
      <xdr:spPr>
        <a:xfrm>
          <a:off x="4637171" y="18378101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F2BFDDC6-A3BF-4C7A-91C6-289BDD7515F9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Groupe 2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213658</xdr:colOff>
      <xdr:row>71</xdr:row>
      <xdr:rowOff>172819</xdr:rowOff>
    </xdr:from>
    <xdr:to>
      <xdr:col>5</xdr:col>
      <xdr:colOff>467083</xdr:colOff>
      <xdr:row>72</xdr:row>
      <xdr:rowOff>211069</xdr:rowOff>
    </xdr:to>
    <xdr:sp macro="" textlink="Stakeholder!C12">
      <xdr:nvSpPr>
        <xdr:cNvPr id="40" name="Textfeld 39" title="Key Partnership">
          <a:extLst>
            <a:ext uri="{FF2B5EF4-FFF2-40B4-BE49-F238E27FC236}">
              <a16:creationId xmlns:a16="http://schemas.microsoft.com/office/drawing/2014/main" id="{00000000-0008-0000-1400-000028000000}"/>
            </a:ext>
          </a:extLst>
        </xdr:cNvPr>
        <xdr:cNvSpPr txBox="1"/>
      </xdr:nvSpPr>
      <xdr:spPr>
        <a:xfrm>
          <a:off x="3633133" y="20127694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33BAA30D-A76E-4640-8093-B08DE47DDF8E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960653</xdr:colOff>
      <xdr:row>58</xdr:row>
      <xdr:rowOff>249272</xdr:rowOff>
    </xdr:from>
    <xdr:to>
      <xdr:col>5</xdr:col>
      <xdr:colOff>2004653</xdr:colOff>
      <xdr:row>60</xdr:row>
      <xdr:rowOff>1772</xdr:rowOff>
    </xdr:to>
    <xdr:sp macro="" textlink="Stakeholder!C14">
      <xdr:nvSpPr>
        <xdr:cNvPr id="41" name="Textfeld 12" title="Key Partnership">
          <a:extLst>
            <a:ext uri="{FF2B5EF4-FFF2-40B4-BE49-F238E27FC236}">
              <a16:creationId xmlns:a16="http://schemas.microsoft.com/office/drawing/2014/main" id="{00000000-0008-0000-1400-000029000000}"/>
            </a:ext>
          </a:extLst>
        </xdr:cNvPr>
        <xdr:cNvSpPr txBox="1"/>
      </xdr:nvSpPr>
      <xdr:spPr>
        <a:xfrm>
          <a:off x="5170703" y="1648939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9D82F6AA-BCDA-4B9A-B5EB-25874236D5B2}" type="TxLink">
            <a:rPr lang="de-CH" sz="1000" b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 </a:t>
          </a:fld>
          <a:endParaRPr lang="de-CH" sz="1000" b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95152</xdr:colOff>
      <xdr:row>65</xdr:row>
      <xdr:rowOff>106397</xdr:rowOff>
    </xdr:from>
    <xdr:to>
      <xdr:col>2</xdr:col>
      <xdr:colOff>1139152</xdr:colOff>
      <xdr:row>66</xdr:row>
      <xdr:rowOff>144647</xdr:rowOff>
    </xdr:to>
    <xdr:sp macro="" textlink="Stakeholder!C15">
      <xdr:nvSpPr>
        <xdr:cNvPr id="42" name="Textfeld 12" title="Key Partnership">
          <a:extLst>
            <a:ext uri="{FF2B5EF4-FFF2-40B4-BE49-F238E27FC236}">
              <a16:creationId xmlns:a16="http://schemas.microsoft.com/office/drawing/2014/main" id="{00000000-0008-0000-1400-00002A000000}"/>
            </a:ext>
          </a:extLst>
        </xdr:cNvPr>
        <xdr:cNvSpPr txBox="1"/>
      </xdr:nvSpPr>
      <xdr:spPr>
        <a:xfrm>
          <a:off x="866677" y="1834677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72F0E155-02B0-4D0E-B780-B78F4BD1F70F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450787</xdr:colOff>
      <xdr:row>62</xdr:row>
      <xdr:rowOff>125447</xdr:rowOff>
    </xdr:from>
    <xdr:to>
      <xdr:col>2</xdr:col>
      <xdr:colOff>1494787</xdr:colOff>
      <xdr:row>63</xdr:row>
      <xdr:rowOff>163696</xdr:rowOff>
    </xdr:to>
    <xdr:sp macro="" textlink="Stakeholder!C16">
      <xdr:nvSpPr>
        <xdr:cNvPr id="43" name="Textfeld 12" title="Key Partnership">
          <a:extLst>
            <a:ext uri="{FF2B5EF4-FFF2-40B4-BE49-F238E27FC236}">
              <a16:creationId xmlns:a16="http://schemas.microsoft.com/office/drawing/2014/main" id="{00000000-0008-0000-1400-00002B000000}"/>
            </a:ext>
          </a:extLst>
        </xdr:cNvPr>
        <xdr:cNvSpPr txBox="1"/>
      </xdr:nvSpPr>
      <xdr:spPr>
        <a:xfrm>
          <a:off x="1222312" y="17508572"/>
          <a:ext cx="1044000" cy="323999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40D8EA8E-6A96-469D-BEFE-83C6B20855F4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1815891</xdr:colOff>
      <xdr:row>67</xdr:row>
      <xdr:rowOff>38303</xdr:rowOff>
    </xdr:from>
    <xdr:to>
      <xdr:col>7</xdr:col>
      <xdr:colOff>2391</xdr:colOff>
      <xdr:row>68</xdr:row>
      <xdr:rowOff>76553</xdr:rowOff>
    </xdr:to>
    <xdr:sp macro="" textlink="Stakeholder!C24">
      <xdr:nvSpPr>
        <xdr:cNvPr id="44" name="Textfeld 12" title="Key Partnership">
          <a:extLst>
            <a:ext uri="{FF2B5EF4-FFF2-40B4-BE49-F238E27FC236}">
              <a16:creationId xmlns:a16="http://schemas.microsoft.com/office/drawing/2014/main" id="{00000000-0008-0000-1400-00002C000000}"/>
            </a:ext>
          </a:extLst>
        </xdr:cNvPr>
        <xdr:cNvSpPr txBox="1"/>
      </xdr:nvSpPr>
      <xdr:spPr>
        <a:xfrm>
          <a:off x="6025941" y="18850178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B3D49803-3A87-4E1F-9F4E-677BE8081FA3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2027296</xdr:colOff>
      <xdr:row>64</xdr:row>
      <xdr:rowOff>101635</xdr:rowOff>
    </xdr:from>
    <xdr:to>
      <xdr:col>7</xdr:col>
      <xdr:colOff>213796</xdr:colOff>
      <xdr:row>65</xdr:row>
      <xdr:rowOff>139885</xdr:rowOff>
    </xdr:to>
    <xdr:sp macro="" textlink="Stakeholder!C18">
      <xdr:nvSpPr>
        <xdr:cNvPr id="45" name="Textfeld 12" title="Key Partnership">
          <a:extLst>
            <a:ext uri="{FF2B5EF4-FFF2-40B4-BE49-F238E27FC236}">
              <a16:creationId xmlns:a16="http://schemas.microsoft.com/office/drawing/2014/main" id="{00000000-0008-0000-1400-00002D000000}"/>
            </a:ext>
          </a:extLst>
        </xdr:cNvPr>
        <xdr:cNvSpPr txBox="1"/>
      </xdr:nvSpPr>
      <xdr:spPr>
        <a:xfrm>
          <a:off x="6237346" y="18056260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0BFDFA1A-DB89-4CEC-B379-F5CB265670D2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1810277</xdr:colOff>
      <xdr:row>63</xdr:row>
      <xdr:rowOff>95026</xdr:rowOff>
    </xdr:from>
    <xdr:to>
      <xdr:col>4</xdr:col>
      <xdr:colOff>206327</xdr:colOff>
      <xdr:row>64</xdr:row>
      <xdr:rowOff>133276</xdr:rowOff>
    </xdr:to>
    <xdr:sp macro="" textlink="Stakeholder!C19">
      <xdr:nvSpPr>
        <xdr:cNvPr id="46" name="Textfeld 12" title="Key Partnership">
          <a:extLst>
            <a:ext uri="{FF2B5EF4-FFF2-40B4-BE49-F238E27FC236}">
              <a16:creationId xmlns:a16="http://schemas.microsoft.com/office/drawing/2014/main" id="{00000000-0008-0000-1400-00002E000000}"/>
            </a:ext>
          </a:extLst>
        </xdr:cNvPr>
        <xdr:cNvSpPr txBox="1"/>
      </xdr:nvSpPr>
      <xdr:spPr>
        <a:xfrm>
          <a:off x="2581802" y="17763901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B9066B0E-44F8-41AE-B354-02AA01C2BC63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315856</xdr:colOff>
      <xdr:row>55</xdr:row>
      <xdr:rowOff>161702</xdr:rowOff>
    </xdr:from>
    <xdr:to>
      <xdr:col>5</xdr:col>
      <xdr:colOff>569281</xdr:colOff>
      <xdr:row>56</xdr:row>
      <xdr:rowOff>199952</xdr:rowOff>
    </xdr:to>
    <xdr:sp macro="" textlink="Stakeholder!C17">
      <xdr:nvSpPr>
        <xdr:cNvPr id="47" name="Textfeld 12" title="Key Partnership">
          <a:extLst>
            <a:ext uri="{FF2B5EF4-FFF2-40B4-BE49-F238E27FC236}">
              <a16:creationId xmlns:a16="http://schemas.microsoft.com/office/drawing/2014/main" id="{00000000-0008-0000-1400-00002F000000}"/>
            </a:ext>
          </a:extLst>
        </xdr:cNvPr>
        <xdr:cNvSpPr txBox="1"/>
      </xdr:nvSpPr>
      <xdr:spPr>
        <a:xfrm>
          <a:off x="3735331" y="1554457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EE6FC7C8-803B-4017-92EF-882DB8D1A1FD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1498506</xdr:colOff>
      <xdr:row>61</xdr:row>
      <xdr:rowOff>134972</xdr:rowOff>
    </xdr:from>
    <xdr:to>
      <xdr:col>6</xdr:col>
      <xdr:colOff>427956</xdr:colOff>
      <xdr:row>62</xdr:row>
      <xdr:rowOff>173223</xdr:rowOff>
    </xdr:to>
    <xdr:sp macro="" textlink="Stakeholder!C21">
      <xdr:nvSpPr>
        <xdr:cNvPr id="48" name="Textfeld 12" title="Key Partnership">
          <a:extLst>
            <a:ext uri="{FF2B5EF4-FFF2-40B4-BE49-F238E27FC236}">
              <a16:creationId xmlns:a16="http://schemas.microsoft.com/office/drawing/2014/main" id="{00000000-0008-0000-1400-000030000000}"/>
            </a:ext>
          </a:extLst>
        </xdr:cNvPr>
        <xdr:cNvSpPr txBox="1"/>
      </xdr:nvSpPr>
      <xdr:spPr>
        <a:xfrm>
          <a:off x="5708556" y="17232347"/>
          <a:ext cx="1044000" cy="32400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3495F17B-6384-42A5-A2CA-0D5BABFB106A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2</xdr:col>
      <xdr:colOff>929052</xdr:colOff>
      <xdr:row>71</xdr:row>
      <xdr:rowOff>3468</xdr:rowOff>
    </xdr:from>
    <xdr:to>
      <xdr:col>3</xdr:col>
      <xdr:colOff>39477</xdr:colOff>
      <xdr:row>72</xdr:row>
      <xdr:rowOff>41718</xdr:rowOff>
    </xdr:to>
    <xdr:sp macro="" textlink="Stakeholder!C22">
      <xdr:nvSpPr>
        <xdr:cNvPr id="49" name="Textfeld 12" title="Key Partnership">
          <a:extLst>
            <a:ext uri="{FF2B5EF4-FFF2-40B4-BE49-F238E27FC236}">
              <a16:creationId xmlns:a16="http://schemas.microsoft.com/office/drawing/2014/main" id="{00000000-0008-0000-1400-000031000000}"/>
            </a:ext>
          </a:extLst>
        </xdr:cNvPr>
        <xdr:cNvSpPr txBox="1"/>
      </xdr:nvSpPr>
      <xdr:spPr>
        <a:xfrm>
          <a:off x="1700577" y="19958343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E9C930E8-E53D-414C-B2D6-76A8F8199BA0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723504</xdr:colOff>
      <xdr:row>70</xdr:row>
      <xdr:rowOff>58772</xdr:rowOff>
    </xdr:from>
    <xdr:to>
      <xdr:col>5</xdr:col>
      <xdr:colOff>1767504</xdr:colOff>
      <xdr:row>71</xdr:row>
      <xdr:rowOff>97022</xdr:rowOff>
    </xdr:to>
    <xdr:sp macro="" textlink="Stakeholder!C23">
      <xdr:nvSpPr>
        <xdr:cNvPr id="50" name="Textfeld 12" title="Key Partnership">
          <a:extLst>
            <a:ext uri="{FF2B5EF4-FFF2-40B4-BE49-F238E27FC236}">
              <a16:creationId xmlns:a16="http://schemas.microsoft.com/office/drawing/2014/main" id="{00000000-0008-0000-1400-000032000000}"/>
            </a:ext>
          </a:extLst>
        </xdr:cNvPr>
        <xdr:cNvSpPr txBox="1"/>
      </xdr:nvSpPr>
      <xdr:spPr>
        <a:xfrm>
          <a:off x="4933554" y="1972789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48B79D0F-8099-4437-BCBD-2532AF56DF02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3</xdr:col>
      <xdr:colOff>12681</xdr:colOff>
      <xdr:row>73</xdr:row>
      <xdr:rowOff>239747</xdr:rowOff>
    </xdr:from>
    <xdr:to>
      <xdr:col>4</xdr:col>
      <xdr:colOff>342306</xdr:colOff>
      <xdr:row>74</xdr:row>
      <xdr:rowOff>277997</xdr:rowOff>
    </xdr:to>
    <xdr:sp macro="" textlink="Stakeholder!C20">
      <xdr:nvSpPr>
        <xdr:cNvPr id="51" name="Textfeld 12" title="Key Partnership">
          <a:extLst>
            <a:ext uri="{FF2B5EF4-FFF2-40B4-BE49-F238E27FC236}">
              <a16:creationId xmlns:a16="http://schemas.microsoft.com/office/drawing/2014/main" id="{00000000-0008-0000-1400-000033000000}"/>
            </a:ext>
          </a:extLst>
        </xdr:cNvPr>
        <xdr:cNvSpPr txBox="1"/>
      </xdr:nvSpPr>
      <xdr:spPr>
        <a:xfrm>
          <a:off x="2717781" y="2076612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711D9D28-4DD8-41E2-82AA-2435CF0D6AF0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503451</xdr:colOff>
      <xdr:row>63</xdr:row>
      <xdr:rowOff>82293</xdr:rowOff>
    </xdr:from>
    <xdr:to>
      <xdr:col>5</xdr:col>
      <xdr:colOff>1547451</xdr:colOff>
      <xdr:row>64</xdr:row>
      <xdr:rowOff>120543</xdr:rowOff>
    </xdr:to>
    <xdr:sp macro="" textlink="Stakeholder!C8">
      <xdr:nvSpPr>
        <xdr:cNvPr id="52" name="Textfeld 51" title="Key Partnership">
          <a:extLst>
            <a:ext uri="{FF2B5EF4-FFF2-40B4-BE49-F238E27FC236}">
              <a16:creationId xmlns:a16="http://schemas.microsoft.com/office/drawing/2014/main" id="{00000000-0008-0000-1400-000034000000}"/>
            </a:ext>
          </a:extLst>
        </xdr:cNvPr>
        <xdr:cNvSpPr txBox="1"/>
      </xdr:nvSpPr>
      <xdr:spPr>
        <a:xfrm>
          <a:off x="4713501" y="17751168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046B5466-6870-423F-880B-146DFD8120AD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Gruppe 3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523062</xdr:colOff>
      <xdr:row>67</xdr:row>
      <xdr:rowOff>215094</xdr:rowOff>
    </xdr:from>
    <xdr:to>
      <xdr:col>5</xdr:col>
      <xdr:colOff>1567062</xdr:colOff>
      <xdr:row>68</xdr:row>
      <xdr:rowOff>253344</xdr:rowOff>
    </xdr:to>
    <xdr:sp macro="" textlink="Stakeholder!C25">
      <xdr:nvSpPr>
        <xdr:cNvPr id="53" name="Textfeld 12" title="Key Partnership">
          <a:extLst>
            <a:ext uri="{FF2B5EF4-FFF2-40B4-BE49-F238E27FC236}">
              <a16:creationId xmlns:a16="http://schemas.microsoft.com/office/drawing/2014/main" id="{00000000-0008-0000-1400-000035000000}"/>
            </a:ext>
          </a:extLst>
        </xdr:cNvPr>
        <xdr:cNvSpPr txBox="1"/>
      </xdr:nvSpPr>
      <xdr:spPr>
        <a:xfrm>
          <a:off x="4733112" y="19026969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A223AC68-263A-46AC-BC87-3E21DA48F964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4</xdr:col>
      <xdr:colOff>53815</xdr:colOff>
      <xdr:row>68</xdr:row>
      <xdr:rowOff>201559</xdr:rowOff>
    </xdr:from>
    <xdr:to>
      <xdr:col>5</xdr:col>
      <xdr:colOff>307240</xdr:colOff>
      <xdr:row>69</xdr:row>
      <xdr:rowOff>239809</xdr:rowOff>
    </xdr:to>
    <xdr:sp macro="" textlink="Stakeholder!C10">
      <xdr:nvSpPr>
        <xdr:cNvPr id="54" name="Textfeld 53" title="Key Partnership">
          <a:extLst>
            <a:ext uri="{FF2B5EF4-FFF2-40B4-BE49-F238E27FC236}">
              <a16:creationId xmlns:a16="http://schemas.microsoft.com/office/drawing/2014/main" id="{00000000-0008-0000-1400-000036000000}"/>
            </a:ext>
          </a:extLst>
        </xdr:cNvPr>
        <xdr:cNvSpPr txBox="1"/>
      </xdr:nvSpPr>
      <xdr:spPr>
        <a:xfrm>
          <a:off x="3473290" y="19299184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7145FD8A-FFDD-4A9D-BCB1-BC2F629AA30D}" type="TxLink">
            <a:rPr lang="de-CH" sz="1000" b="0"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 </a:t>
          </a:fld>
          <a:endParaRPr lang="de-CH" sz="1000" b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LocksWithSheet="0"/>
  </xdr:twoCellAnchor>
  <xdr:twoCellAnchor editAs="oneCell">
    <xdr:from>
      <xdr:col>5</xdr:col>
      <xdr:colOff>47282</xdr:colOff>
      <xdr:row>56</xdr:row>
      <xdr:rowOff>199952</xdr:rowOff>
    </xdr:from>
    <xdr:to>
      <xdr:col>5</xdr:col>
      <xdr:colOff>112442</xdr:colOff>
      <xdr:row>64</xdr:row>
      <xdr:rowOff>17511</xdr:rowOff>
    </xdr:to>
    <xdr:cxnSp macro="">
      <xdr:nvCxnSpPr>
        <xdr:cNvPr id="55" name="Gekrümmte Verbindung 54">
          <a:extLst>
            <a:ext uri="{FF2B5EF4-FFF2-40B4-BE49-F238E27FC236}">
              <a16:creationId xmlns:a16="http://schemas.microsoft.com/office/drawing/2014/main" id="{00000000-0008-0000-1400-000037000000}"/>
            </a:ext>
          </a:extLst>
        </xdr:cNvPr>
        <xdr:cNvCxnSpPr>
          <a:stCxn id="69" idx="7"/>
          <a:endCxn id="47" idx="2"/>
        </xdr:cNvCxnSpPr>
      </xdr:nvCxnSpPr>
      <xdr:spPr>
        <a:xfrm rot="16200000" flipV="1">
          <a:off x="3238132" y="16887777"/>
          <a:ext cx="2103559" cy="65160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106611</xdr:colOff>
      <xdr:row>59</xdr:row>
      <xdr:rowOff>179307</xdr:rowOff>
    </xdr:from>
    <xdr:to>
      <xdr:col>5</xdr:col>
      <xdr:colOff>360036</xdr:colOff>
      <xdr:row>60</xdr:row>
      <xdr:rowOff>217557</xdr:rowOff>
    </xdr:to>
    <xdr:sp macro="" textlink="Stakeholder!C6">
      <xdr:nvSpPr>
        <xdr:cNvPr id="56" name="Textfeld 55" title="Key Partnership">
          <a:extLst>
            <a:ext uri="{FF2B5EF4-FFF2-40B4-BE49-F238E27FC236}">
              <a16:creationId xmlns:a16="http://schemas.microsoft.com/office/drawing/2014/main" id="{00000000-0008-0000-1400-000038000000}"/>
            </a:ext>
          </a:extLst>
        </xdr:cNvPr>
        <xdr:cNvSpPr txBox="1"/>
      </xdr:nvSpPr>
      <xdr:spPr>
        <a:xfrm>
          <a:off x="3526086" y="1670518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AD2C7169-238A-48DA-A35C-701FEC7490D7}" type="TxLink">
            <a:rPr lang="de-CH" sz="1000" b="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Team</a:t>
          </a:fld>
          <a:endParaRPr lang="de-CH" sz="1000" b="0">
            <a:solidFill>
              <a:schemeClr val="dk1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 fLocksWithSheet="0"/>
  </xdr:twoCellAnchor>
  <xdr:oneCellAnchor>
    <xdr:from>
      <xdr:col>3</xdr:col>
      <xdr:colOff>476250</xdr:colOff>
      <xdr:row>54</xdr:row>
      <xdr:rowOff>77881</xdr:rowOff>
    </xdr:from>
    <xdr:ext cx="1860176" cy="311496"/>
    <xdr:sp macro="" textlink="' '!A460">
      <xdr:nvSpPr>
        <xdr:cNvPr id="57" name="Textfeld 56">
          <a:extLst>
            <a:ext uri="{FF2B5EF4-FFF2-40B4-BE49-F238E27FC236}">
              <a16:creationId xmlns:a16="http://schemas.microsoft.com/office/drawing/2014/main" id="{00000000-0008-0000-1400-000039000000}"/>
            </a:ext>
          </a:extLst>
        </xdr:cNvPr>
        <xdr:cNvSpPr txBox="1"/>
      </xdr:nvSpPr>
      <xdr:spPr>
        <a:xfrm>
          <a:off x="3181350" y="15175006"/>
          <a:ext cx="1860176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7C8E3E91-ABB7-40BD-818E-427F47980AFB}" type="TxLink">
            <a:rPr lang="en-US" sz="1400" b="1">
              <a:solidFill>
                <a:schemeClr val="tx1">
                  <a:lumMod val="65000"/>
                  <a:lumOff val="35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Contexte large</a:t>
          </a:fld>
          <a:endParaRPr lang="de-CH" sz="1400" b="1">
            <a:solidFill>
              <a:schemeClr val="tx1">
                <a:lumMod val="65000"/>
                <a:lumOff val="35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4</xdr:col>
      <xdr:colOff>324959</xdr:colOff>
      <xdr:row>62</xdr:row>
      <xdr:rowOff>9776</xdr:rowOff>
    </xdr:from>
    <xdr:ext cx="728405" cy="311496"/>
    <xdr:sp macro="" textlink="' '!A462">
      <xdr:nvSpPr>
        <xdr:cNvPr id="58" name="Textfeld 57">
          <a:extLst>
            <a:ext uri="{FF2B5EF4-FFF2-40B4-BE49-F238E27FC236}">
              <a16:creationId xmlns:a16="http://schemas.microsoft.com/office/drawing/2014/main" id="{00000000-0008-0000-1400-00003A000000}"/>
            </a:ext>
          </a:extLst>
        </xdr:cNvPr>
        <xdr:cNvSpPr txBox="1"/>
      </xdr:nvSpPr>
      <xdr:spPr>
        <a:xfrm>
          <a:off x="3744434" y="17392901"/>
          <a:ext cx="72840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FFFD43AD-CF99-4CDE-A1DC-14F9B4D682B4}" type="TxLink">
            <a:rPr lang="en-US" sz="1400" b="1">
              <a:solidFill>
                <a:schemeClr val="tx1">
                  <a:lumMod val="65000"/>
                  <a:lumOff val="35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interne</a:t>
          </a:fld>
          <a:endParaRPr lang="de-CH" sz="1400" b="1">
            <a:solidFill>
              <a:schemeClr val="tx1">
                <a:lumMod val="65000"/>
                <a:lumOff val="35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3</xdr:col>
      <xdr:colOff>678558</xdr:colOff>
      <xdr:row>66</xdr:row>
      <xdr:rowOff>17367</xdr:rowOff>
    </xdr:from>
    <xdr:to>
      <xdr:col>4</xdr:col>
      <xdr:colOff>770040</xdr:colOff>
      <xdr:row>67</xdr:row>
      <xdr:rowOff>105883</xdr:rowOff>
    </xdr:to>
    <xdr:cxnSp macro="">
      <xdr:nvCxnSpPr>
        <xdr:cNvPr id="59" name="Gekrümmte Verbindung 58">
          <a:extLst>
            <a:ext uri="{FF2B5EF4-FFF2-40B4-BE49-F238E27FC236}">
              <a16:creationId xmlns:a16="http://schemas.microsoft.com/office/drawing/2014/main" id="{00000000-0008-0000-1400-00003B000000}"/>
            </a:ext>
          </a:extLst>
        </xdr:cNvPr>
        <xdr:cNvCxnSpPr/>
      </xdr:nvCxnSpPr>
      <xdr:spPr>
        <a:xfrm rot="5400000">
          <a:off x="3599454" y="18327696"/>
          <a:ext cx="374266" cy="805857"/>
        </a:xfrm>
        <a:prstGeom prst="curvedConnector3">
          <a:avLst>
            <a:gd name="adj1" fmla="val 16108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9524</xdr:colOff>
      <xdr:row>27</xdr:row>
      <xdr:rowOff>95250</xdr:rowOff>
    </xdr:from>
    <xdr:to>
      <xdr:col>6</xdr:col>
      <xdr:colOff>714375</xdr:colOff>
      <xdr:row>28</xdr:row>
      <xdr:rowOff>214932</xdr:rowOff>
    </xdr:to>
    <xdr:sp macro="" textlink="' '!A486">
      <xdr:nvSpPr>
        <xdr:cNvPr id="60" name="TextBox 124">
          <a:extLst>
            <a:ext uri="{FF2B5EF4-FFF2-40B4-BE49-F238E27FC236}">
              <a16:creationId xmlns:a16="http://schemas.microsoft.com/office/drawing/2014/main" id="{00000000-0008-0000-1400-00003C000000}"/>
            </a:ext>
          </a:extLst>
        </xdr:cNvPr>
        <xdr:cNvSpPr txBox="1"/>
      </xdr:nvSpPr>
      <xdr:spPr>
        <a:xfrm>
          <a:off x="4219574" y="7753350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0D63F0D1-C9D8-4C15-A93A-16850B6341F4}" type="TxLink">
            <a:rPr lang="en-US" sz="2000">
              <a:solidFill>
                <a:schemeClr val="bg1">
                  <a:lumMod val="65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Suivre de près</a:t>
          </a:fld>
          <a:endParaRPr lang="fr-CH" sz="2000">
            <a:solidFill>
              <a:schemeClr val="bg1">
                <a:lumMod val="65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4</xdr:col>
      <xdr:colOff>573805</xdr:colOff>
      <xdr:row>66</xdr:row>
      <xdr:rowOff>17367</xdr:rowOff>
    </xdr:from>
    <xdr:to>
      <xdr:col>4</xdr:col>
      <xdr:colOff>770040</xdr:colOff>
      <xdr:row>68</xdr:row>
      <xdr:rowOff>207677</xdr:rowOff>
    </xdr:to>
    <xdr:cxnSp macro="">
      <xdr:nvCxnSpPr>
        <xdr:cNvPr id="61" name="Gekrümmte Verbindung 60">
          <a:extLst>
            <a:ext uri="{FF2B5EF4-FFF2-40B4-BE49-F238E27FC236}">
              <a16:creationId xmlns:a16="http://schemas.microsoft.com/office/drawing/2014/main" id="{00000000-0008-0000-1400-00003D000000}"/>
            </a:ext>
          </a:extLst>
        </xdr:cNvPr>
        <xdr:cNvCxnSpPr/>
      </xdr:nvCxnSpPr>
      <xdr:spPr>
        <a:xfrm rot="5400000">
          <a:off x="3710493" y="18826279"/>
          <a:ext cx="761810" cy="196235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1609725</xdr:colOff>
      <xdr:row>65</xdr:row>
      <xdr:rowOff>213491</xdr:rowOff>
    </xdr:from>
    <xdr:to>
      <xdr:col>4</xdr:col>
      <xdr:colOff>553666</xdr:colOff>
      <xdr:row>68</xdr:row>
      <xdr:rowOff>253536</xdr:rowOff>
    </xdr:to>
    <xdr:cxnSp macro="">
      <xdr:nvCxnSpPr>
        <xdr:cNvPr id="62" name="Gekrümmte Verbindung 61">
          <a:extLst>
            <a:ext uri="{FF2B5EF4-FFF2-40B4-BE49-F238E27FC236}">
              <a16:creationId xmlns:a16="http://schemas.microsoft.com/office/drawing/2014/main" id="{00000000-0008-0000-1400-00003E000000}"/>
            </a:ext>
          </a:extLst>
        </xdr:cNvPr>
        <xdr:cNvCxnSpPr/>
      </xdr:nvCxnSpPr>
      <xdr:spPr>
        <a:xfrm rot="5400000">
          <a:off x="2728548" y="18106568"/>
          <a:ext cx="897295" cy="1591891"/>
        </a:xfrm>
        <a:prstGeom prst="curvedConnector2">
          <a:avLst/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689164</xdr:colOff>
      <xdr:row>60</xdr:row>
      <xdr:rowOff>1772</xdr:rowOff>
    </xdr:from>
    <xdr:to>
      <xdr:col>5</xdr:col>
      <xdr:colOff>1482654</xdr:colOff>
      <xdr:row>63</xdr:row>
      <xdr:rowOff>213636</xdr:rowOff>
    </xdr:to>
    <xdr:cxnSp macro="">
      <xdr:nvCxnSpPr>
        <xdr:cNvPr id="63" name="Gekrümmte Verbindung 62">
          <a:extLst>
            <a:ext uri="{FF2B5EF4-FFF2-40B4-BE49-F238E27FC236}">
              <a16:creationId xmlns:a16="http://schemas.microsoft.com/office/drawing/2014/main" id="{00000000-0008-0000-1400-00003F000000}"/>
            </a:ext>
          </a:extLst>
        </xdr:cNvPr>
        <xdr:cNvCxnSpPr>
          <a:stCxn id="69" idx="0"/>
          <a:endCxn id="41" idx="2"/>
        </xdr:cNvCxnSpPr>
      </xdr:nvCxnSpPr>
      <xdr:spPr>
        <a:xfrm rot="5400000" flipH="1" flipV="1">
          <a:off x="4366115" y="16555921"/>
          <a:ext cx="1069114" cy="1584065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356847</xdr:colOff>
      <xdr:row>64</xdr:row>
      <xdr:rowOff>49373</xdr:rowOff>
    </xdr:from>
    <xdr:to>
      <xdr:col>5</xdr:col>
      <xdr:colOff>890928</xdr:colOff>
      <xdr:row>65</xdr:row>
      <xdr:rowOff>132650</xdr:rowOff>
    </xdr:to>
    <xdr:cxnSp macro="">
      <xdr:nvCxnSpPr>
        <xdr:cNvPr id="64" name="Gekrümmte Verbindung 63">
          <a:extLst>
            <a:ext uri="{FF2B5EF4-FFF2-40B4-BE49-F238E27FC236}">
              <a16:creationId xmlns:a16="http://schemas.microsoft.com/office/drawing/2014/main" id="{00000000-0008-0000-1400-000040000000}"/>
            </a:ext>
          </a:extLst>
        </xdr:cNvPr>
        <xdr:cNvCxnSpPr/>
      </xdr:nvCxnSpPr>
      <xdr:spPr>
        <a:xfrm rot="5400000" flipH="1" flipV="1">
          <a:off x="3896949" y="17168996"/>
          <a:ext cx="369027" cy="2039031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770040</xdr:colOff>
      <xdr:row>66</xdr:row>
      <xdr:rowOff>17365</xdr:rowOff>
    </xdr:from>
    <xdr:to>
      <xdr:col>5</xdr:col>
      <xdr:colOff>1043052</xdr:colOff>
      <xdr:row>67</xdr:row>
      <xdr:rowOff>221210</xdr:rowOff>
    </xdr:to>
    <xdr:cxnSp macro="">
      <xdr:nvCxnSpPr>
        <xdr:cNvPr id="65" name="Gekrümmte Verbindung 64">
          <a:extLst>
            <a:ext uri="{FF2B5EF4-FFF2-40B4-BE49-F238E27FC236}">
              <a16:creationId xmlns:a16="http://schemas.microsoft.com/office/drawing/2014/main" id="{00000000-0008-0000-1400-000041000000}"/>
            </a:ext>
          </a:extLst>
        </xdr:cNvPr>
        <xdr:cNvCxnSpPr/>
      </xdr:nvCxnSpPr>
      <xdr:spPr>
        <a:xfrm rot="16200000" flipH="1">
          <a:off x="4476511" y="18256494"/>
          <a:ext cx="489595" cy="1063587"/>
        </a:xfrm>
        <a:prstGeom prst="curvedConnector3">
          <a:avLst>
            <a:gd name="adj1" fmla="val 50000"/>
          </a:avLst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628612</xdr:colOff>
      <xdr:row>60</xdr:row>
      <xdr:rowOff>217556</xdr:rowOff>
    </xdr:from>
    <xdr:to>
      <xdr:col>4</xdr:col>
      <xdr:colOff>686642</xdr:colOff>
      <xdr:row>63</xdr:row>
      <xdr:rowOff>213635</xdr:rowOff>
    </xdr:to>
    <xdr:cxnSp macro="">
      <xdr:nvCxnSpPr>
        <xdr:cNvPr id="66" name="Gekrümmte Verbindung 65">
          <a:extLst>
            <a:ext uri="{FF2B5EF4-FFF2-40B4-BE49-F238E27FC236}">
              <a16:creationId xmlns:a16="http://schemas.microsoft.com/office/drawing/2014/main" id="{00000000-0008-0000-1400-000042000000}"/>
            </a:ext>
          </a:extLst>
        </xdr:cNvPr>
        <xdr:cNvCxnSpPr>
          <a:stCxn id="56" idx="2"/>
          <a:endCxn id="69" idx="0"/>
        </xdr:cNvCxnSpPr>
      </xdr:nvCxnSpPr>
      <xdr:spPr>
        <a:xfrm rot="16200000" flipH="1">
          <a:off x="3650437" y="17426831"/>
          <a:ext cx="853329" cy="58030"/>
        </a:xfrm>
        <a:prstGeom prst="curvedConnector3">
          <a:avLst>
            <a:gd name="adj1" fmla="val 50000"/>
          </a:avLst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195839</xdr:colOff>
      <xdr:row>65</xdr:row>
      <xdr:rowOff>213491</xdr:rowOff>
    </xdr:from>
    <xdr:to>
      <xdr:col>5</xdr:col>
      <xdr:colOff>425110</xdr:colOff>
      <xdr:row>66</xdr:row>
      <xdr:rowOff>20093</xdr:rowOff>
    </xdr:to>
    <xdr:cxnSp macro="">
      <xdr:nvCxnSpPr>
        <xdr:cNvPr id="67" name="Gekrümmte Verbindung 66">
          <a:extLst>
            <a:ext uri="{FF2B5EF4-FFF2-40B4-BE49-F238E27FC236}">
              <a16:creationId xmlns:a16="http://schemas.microsoft.com/office/drawing/2014/main" id="{00000000-0008-0000-1400-000043000000}"/>
            </a:ext>
          </a:extLst>
        </xdr:cNvPr>
        <xdr:cNvCxnSpPr/>
      </xdr:nvCxnSpPr>
      <xdr:spPr>
        <a:xfrm rot="16200000" flipH="1">
          <a:off x="4474349" y="18385406"/>
          <a:ext cx="92352" cy="229271"/>
        </a:xfrm>
        <a:prstGeom prst="curvedConnector2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553666</xdr:colOff>
      <xdr:row>65</xdr:row>
      <xdr:rowOff>213490</xdr:rowOff>
    </xdr:from>
    <xdr:to>
      <xdr:col>4</xdr:col>
      <xdr:colOff>573806</xdr:colOff>
      <xdr:row>68</xdr:row>
      <xdr:rowOff>207675</xdr:rowOff>
    </xdr:to>
    <xdr:cxnSp macro="">
      <xdr:nvCxnSpPr>
        <xdr:cNvPr id="68" name="Gekrümmte Verbindung 67">
          <a:extLst>
            <a:ext uri="{FF2B5EF4-FFF2-40B4-BE49-F238E27FC236}">
              <a16:creationId xmlns:a16="http://schemas.microsoft.com/office/drawing/2014/main" id="{00000000-0008-0000-1400-000044000000}"/>
            </a:ext>
          </a:extLst>
        </xdr:cNvPr>
        <xdr:cNvCxnSpPr/>
      </xdr:nvCxnSpPr>
      <xdr:spPr>
        <a:xfrm rot="16200000" flipH="1">
          <a:off x="3557493" y="18869513"/>
          <a:ext cx="851435" cy="20140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380641</xdr:colOff>
      <xdr:row>63</xdr:row>
      <xdr:rowOff>213636</xdr:rowOff>
    </xdr:from>
    <xdr:to>
      <xdr:col>5</xdr:col>
      <xdr:colOff>202066</xdr:colOff>
      <xdr:row>65</xdr:row>
      <xdr:rowOff>254136</xdr:rowOff>
    </xdr:to>
    <xdr:sp macro="" textlink="' '!A463">
      <xdr:nvSpPr>
        <xdr:cNvPr id="69" name="Ellipse 68">
          <a:extLst>
            <a:ext uri="{FF2B5EF4-FFF2-40B4-BE49-F238E27FC236}">
              <a16:creationId xmlns:a16="http://schemas.microsoft.com/office/drawing/2014/main" id="{00000000-0008-0000-1400-000045000000}"/>
            </a:ext>
          </a:extLst>
        </xdr:cNvPr>
        <xdr:cNvSpPr>
          <a:spLocks/>
        </xdr:cNvSpPr>
      </xdr:nvSpPr>
      <xdr:spPr>
        <a:xfrm>
          <a:off x="3800116" y="17882511"/>
          <a:ext cx="612000" cy="612000"/>
        </a:xfrm>
        <a:prstGeom prst="ellipse">
          <a:avLst/>
        </a:prstGeom>
        <a:ln>
          <a:noFill/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>
          <a:noAutofit/>
        </a:bodyPr>
        <a:lstStyle/>
        <a:p>
          <a:pPr algn="ctr"/>
          <a:fld id="{1FD2A07F-7BBA-4911-9F95-9BB6C38B99C8}" type="TxLink">
            <a:rPr lang="en-US" sz="1400" b="1" i="0" u="none" strike="noStrike">
              <a:solidFill>
                <a:srgbClr val="FF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Nous</a:t>
          </a:fld>
          <a:endParaRPr lang="de-CH" sz="1400" b="1">
            <a:solidFill>
              <a:srgbClr val="FF0000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0</xdr:col>
      <xdr:colOff>66675</xdr:colOff>
      <xdr:row>47</xdr:row>
      <xdr:rowOff>219075</xdr:rowOff>
    </xdr:from>
    <xdr:to>
      <xdr:col>0</xdr:col>
      <xdr:colOff>390675</xdr:colOff>
      <xdr:row>48</xdr:row>
      <xdr:rowOff>258790</xdr:rowOff>
    </xdr:to>
    <xdr:grpSp>
      <xdr:nvGrpSpPr>
        <xdr:cNvPr id="73" name="Gruppieren 72">
          <a:hlinkClick xmlns:r="http://schemas.openxmlformats.org/officeDocument/2006/relationships" r:id="rId1" tooltip="to top"/>
          <a:extLst>
            <a:ext uri="{FF2B5EF4-FFF2-40B4-BE49-F238E27FC236}">
              <a16:creationId xmlns:a16="http://schemas.microsoft.com/office/drawing/2014/main" id="{00000000-0008-0000-1400-000049000000}"/>
            </a:ext>
          </a:extLst>
        </xdr:cNvPr>
        <xdr:cNvGrpSpPr/>
      </xdr:nvGrpSpPr>
      <xdr:grpSpPr>
        <a:xfrm>
          <a:off x="66675" y="13531215"/>
          <a:ext cx="324000" cy="321655"/>
          <a:chOff x="66675" y="4972050"/>
          <a:chExt cx="324000" cy="325465"/>
        </a:xfrm>
      </xdr:grpSpPr>
      <xdr:sp macro="" textlink="">
        <xdr:nvSpPr>
          <xdr:cNvPr id="74" name="Rechteck 73">
            <a:extLst>
              <a:ext uri="{FF2B5EF4-FFF2-40B4-BE49-F238E27FC236}">
                <a16:creationId xmlns:a16="http://schemas.microsoft.com/office/drawing/2014/main" id="{00000000-0008-0000-1400-00004A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5" name="Pfeil nach oben 74">
            <a:extLst>
              <a:ext uri="{FF2B5EF4-FFF2-40B4-BE49-F238E27FC236}">
                <a16:creationId xmlns:a16="http://schemas.microsoft.com/office/drawing/2014/main" id="{00000000-0008-0000-1400-00004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74</xdr:row>
      <xdr:rowOff>247650</xdr:rowOff>
    </xdr:from>
    <xdr:to>
      <xdr:col>0</xdr:col>
      <xdr:colOff>390675</xdr:colOff>
      <xdr:row>76</xdr:row>
      <xdr:rowOff>1615</xdr:rowOff>
    </xdr:to>
    <xdr:grpSp>
      <xdr:nvGrpSpPr>
        <xdr:cNvPr id="76" name="Gruppieren 75">
          <a:hlinkClick xmlns:r="http://schemas.openxmlformats.org/officeDocument/2006/relationships" r:id="rId1" tooltip="to top"/>
          <a:extLst>
            <a:ext uri="{FF2B5EF4-FFF2-40B4-BE49-F238E27FC236}">
              <a16:creationId xmlns:a16="http://schemas.microsoft.com/office/drawing/2014/main" id="{00000000-0008-0000-1400-00004C000000}"/>
            </a:ext>
          </a:extLst>
        </xdr:cNvPr>
        <xdr:cNvGrpSpPr/>
      </xdr:nvGrpSpPr>
      <xdr:grpSpPr>
        <a:xfrm>
          <a:off x="66675" y="20897850"/>
          <a:ext cx="324000" cy="317845"/>
          <a:chOff x="66675" y="4972050"/>
          <a:chExt cx="324000" cy="325465"/>
        </a:xfrm>
      </xdr:grpSpPr>
      <xdr:sp macro="" textlink="">
        <xdr:nvSpPr>
          <xdr:cNvPr id="77" name="Rechteck 76">
            <a:extLst>
              <a:ext uri="{FF2B5EF4-FFF2-40B4-BE49-F238E27FC236}">
                <a16:creationId xmlns:a16="http://schemas.microsoft.com/office/drawing/2014/main" id="{00000000-0008-0000-1400-00004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8" name="Pfeil nach oben 77">
            <a:extLst>
              <a:ext uri="{FF2B5EF4-FFF2-40B4-BE49-F238E27FC236}">
                <a16:creationId xmlns:a16="http://schemas.microsoft.com/office/drawing/2014/main" id="{00000000-0008-0000-1400-00004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2</xdr:col>
      <xdr:colOff>438149</xdr:colOff>
      <xdr:row>27</xdr:row>
      <xdr:rowOff>95250</xdr:rowOff>
    </xdr:from>
    <xdr:to>
      <xdr:col>4</xdr:col>
      <xdr:colOff>609600</xdr:colOff>
      <xdr:row>28</xdr:row>
      <xdr:rowOff>214932</xdr:rowOff>
    </xdr:to>
    <xdr:sp macro="" textlink="' '!A483">
      <xdr:nvSpPr>
        <xdr:cNvPr id="82" name="TextBox 2">
          <a:extLst>
            <a:ext uri="{FF2B5EF4-FFF2-40B4-BE49-F238E27FC236}">
              <a16:creationId xmlns:a16="http://schemas.microsoft.com/office/drawing/2014/main" id="{00000000-0008-0000-1400-000052000000}"/>
            </a:ext>
          </a:extLst>
        </xdr:cNvPr>
        <xdr:cNvSpPr txBox="1"/>
      </xdr:nvSpPr>
      <xdr:spPr>
        <a:xfrm>
          <a:off x="1209674" y="7753350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F0975A4A-6154-442C-97D6-B2D35C932381}" type="TxLink">
            <a:rPr lang="en-US" sz="2000">
              <a:solidFill>
                <a:schemeClr val="bg1">
                  <a:lumMod val="65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Maintenir satisfait</a:t>
          </a:fld>
          <a:endParaRPr lang="fr-CH" sz="2000">
            <a:solidFill>
              <a:schemeClr val="bg1">
                <a:lumMod val="65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447674</xdr:colOff>
      <xdr:row>46</xdr:row>
      <xdr:rowOff>114300</xdr:rowOff>
    </xdr:from>
    <xdr:to>
      <xdr:col>4</xdr:col>
      <xdr:colOff>619125</xdr:colOff>
      <xdr:row>47</xdr:row>
      <xdr:rowOff>233982</xdr:rowOff>
    </xdr:to>
    <xdr:sp macro="" textlink="' '!A484">
      <xdr:nvSpPr>
        <xdr:cNvPr id="83" name="TextBox 122">
          <a:extLst>
            <a:ext uri="{FF2B5EF4-FFF2-40B4-BE49-F238E27FC236}">
              <a16:creationId xmlns:a16="http://schemas.microsoft.com/office/drawing/2014/main" id="{00000000-0008-0000-1400-000053000000}"/>
            </a:ext>
          </a:extLst>
        </xdr:cNvPr>
        <xdr:cNvSpPr txBox="1"/>
      </xdr:nvSpPr>
      <xdr:spPr>
        <a:xfrm>
          <a:off x="1219199" y="13201650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1D1D7A13-48B0-4918-9887-9EED9DF83B72}" type="TxLink">
            <a:rPr lang="en-US" sz="2000">
              <a:solidFill>
                <a:schemeClr val="bg1">
                  <a:lumMod val="65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Surveiller</a:t>
          </a:fld>
          <a:endParaRPr lang="fr-CH" sz="2000">
            <a:solidFill>
              <a:schemeClr val="bg1">
                <a:lumMod val="65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771524</xdr:colOff>
      <xdr:row>46</xdr:row>
      <xdr:rowOff>114300</xdr:rowOff>
    </xdr:from>
    <xdr:to>
      <xdr:col>6</xdr:col>
      <xdr:colOff>685800</xdr:colOff>
      <xdr:row>47</xdr:row>
      <xdr:rowOff>233982</xdr:rowOff>
    </xdr:to>
    <xdr:sp macro="" textlink="' '!A485">
      <xdr:nvSpPr>
        <xdr:cNvPr id="84" name="TextBox 123">
          <a:extLst>
            <a:ext uri="{FF2B5EF4-FFF2-40B4-BE49-F238E27FC236}">
              <a16:creationId xmlns:a16="http://schemas.microsoft.com/office/drawing/2014/main" id="{00000000-0008-0000-1400-000054000000}"/>
            </a:ext>
          </a:extLst>
        </xdr:cNvPr>
        <xdr:cNvSpPr txBox="1"/>
      </xdr:nvSpPr>
      <xdr:spPr>
        <a:xfrm>
          <a:off x="4190999" y="13201650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ABB3B788-3075-42CF-88B3-B8B81E5FFC12}" type="TxLink">
            <a:rPr lang="en-US" sz="2000">
              <a:solidFill>
                <a:schemeClr val="bg1">
                  <a:lumMod val="65000"/>
                </a:schemeClr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Tenir informé</a:t>
          </a:fld>
          <a:endParaRPr lang="fr-CH" sz="2000">
            <a:solidFill>
              <a:schemeClr val="bg1">
                <a:lumMod val="65000"/>
              </a:schemeClr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7</xdr:col>
      <xdr:colOff>1447800</xdr:colOff>
      <xdr:row>72</xdr:row>
      <xdr:rowOff>190500</xdr:rowOff>
    </xdr:from>
    <xdr:to>
      <xdr:col>8</xdr:col>
      <xdr:colOff>533400</xdr:colOff>
      <xdr:row>72</xdr:row>
      <xdr:rowOff>190500</xdr:rowOff>
    </xdr:to>
    <xdr:cxnSp macro="">
      <xdr:nvCxnSpPr>
        <xdr:cNvPr id="86" name="Gerade Verbindung mit Pfeil 85">
          <a:extLst>
            <a:ext uri="{FF2B5EF4-FFF2-40B4-BE49-F238E27FC236}">
              <a16:creationId xmlns:a16="http://schemas.microsoft.com/office/drawing/2014/main" id="{00000000-0008-0000-1400-000056000000}"/>
            </a:ext>
          </a:extLst>
        </xdr:cNvPr>
        <xdr:cNvCxnSpPr/>
      </xdr:nvCxnSpPr>
      <xdr:spPr>
        <a:xfrm>
          <a:off x="8515350" y="20431125"/>
          <a:ext cx="685800" cy="0"/>
        </a:xfrm>
        <a:prstGeom prst="straightConnector1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>
    <xdr:from>
      <xdr:col>7</xdr:col>
      <xdr:colOff>1447800</xdr:colOff>
      <xdr:row>73</xdr:row>
      <xdr:rowOff>209550</xdr:rowOff>
    </xdr:from>
    <xdr:to>
      <xdr:col>8</xdr:col>
      <xdr:colOff>533400</xdr:colOff>
      <xdr:row>73</xdr:row>
      <xdr:rowOff>209550</xdr:rowOff>
    </xdr:to>
    <xdr:cxnSp macro="">
      <xdr:nvCxnSpPr>
        <xdr:cNvPr id="87" name="Gerade Verbindung mit Pfeil 86">
          <a:extLst>
            <a:ext uri="{FF2B5EF4-FFF2-40B4-BE49-F238E27FC236}">
              <a16:creationId xmlns:a16="http://schemas.microsoft.com/office/drawing/2014/main" id="{00000000-0008-0000-1400-000057000000}"/>
            </a:ext>
          </a:extLst>
        </xdr:cNvPr>
        <xdr:cNvCxnSpPr/>
      </xdr:nvCxnSpPr>
      <xdr:spPr>
        <a:xfrm>
          <a:off x="8515350" y="20735925"/>
          <a:ext cx="685800" cy="0"/>
        </a:xfrm>
        <a:prstGeom prst="straightConnector1">
          <a:avLst/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7</xdr:col>
      <xdr:colOff>1447800</xdr:colOff>
      <xdr:row>74</xdr:row>
      <xdr:rowOff>200025</xdr:rowOff>
    </xdr:from>
    <xdr:to>
      <xdr:col>8</xdr:col>
      <xdr:colOff>533400</xdr:colOff>
      <xdr:row>74</xdr:row>
      <xdr:rowOff>200025</xdr:rowOff>
    </xdr:to>
    <xdr:cxnSp macro="">
      <xdr:nvCxnSpPr>
        <xdr:cNvPr id="88" name="Gerade Verbindung mit Pfeil 87">
          <a:extLst>
            <a:ext uri="{FF2B5EF4-FFF2-40B4-BE49-F238E27FC236}">
              <a16:creationId xmlns:a16="http://schemas.microsoft.com/office/drawing/2014/main" id="{00000000-0008-0000-1400-000058000000}"/>
            </a:ext>
          </a:extLst>
        </xdr:cNvPr>
        <xdr:cNvCxnSpPr/>
      </xdr:nvCxnSpPr>
      <xdr:spPr>
        <a:xfrm>
          <a:off x="8515350" y="21012150"/>
          <a:ext cx="685800" cy="0"/>
        </a:xfrm>
        <a:prstGeom prst="straightConnector1">
          <a:avLst/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0</xdr:row>
          <xdr:rowOff>0</xdr:rowOff>
        </xdr:from>
        <xdr:to>
          <xdr:col>9</xdr:col>
          <xdr:colOff>464820</xdr:colOff>
          <xdr:row>0</xdr:row>
          <xdr:rowOff>518160</xdr:rowOff>
        </xdr:to>
        <xdr:pic>
          <xdr:nvPicPr>
            <xdr:cNvPr id="89" name="Grafik 56">
              <a:extLst>
                <a:ext uri="{FF2B5EF4-FFF2-40B4-BE49-F238E27FC236}">
                  <a16:creationId xmlns:a16="http://schemas.microsoft.com/office/drawing/2014/main" id="{00000000-0008-0000-1400-00005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3320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8690610" y="0"/>
              <a:ext cx="217551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absolute">
    <xdr:from>
      <xdr:col>9</xdr:col>
      <xdr:colOff>276225</xdr:colOff>
      <xdr:row>1</xdr:row>
      <xdr:rowOff>47625</xdr:rowOff>
    </xdr:from>
    <xdr:to>
      <xdr:col>9</xdr:col>
      <xdr:colOff>449025</xdr:colOff>
      <xdr:row>2</xdr:row>
      <xdr:rowOff>39450</xdr:rowOff>
    </xdr:to>
    <xdr:grpSp>
      <xdr:nvGrpSpPr>
        <xdr:cNvPr id="90" name="Gruppieren 89">
          <a:hlinkClick xmlns:r="http://schemas.openxmlformats.org/officeDocument/2006/relationships" r:id="rId3" tooltip="Help"/>
          <a:extLst>
            <a:ext uri="{FF2B5EF4-FFF2-40B4-BE49-F238E27FC236}">
              <a16:creationId xmlns:a16="http://schemas.microsoft.com/office/drawing/2014/main" id="{00000000-0008-0000-1400-00005A000000}"/>
            </a:ext>
          </a:extLst>
        </xdr:cNvPr>
        <xdr:cNvGrpSpPr/>
      </xdr:nvGrpSpPr>
      <xdr:grpSpPr>
        <a:xfrm>
          <a:off x="10997565" y="581025"/>
          <a:ext cx="172800" cy="167085"/>
          <a:chOff x="8105775" y="571500"/>
          <a:chExt cx="172800" cy="172800"/>
        </a:xfrm>
      </xdr:grpSpPr>
      <xdr:sp macro="" textlink="">
        <xdr:nvSpPr>
          <xdr:cNvPr id="91" name="Rechteck 90">
            <a:extLst>
              <a:ext uri="{FF2B5EF4-FFF2-40B4-BE49-F238E27FC236}">
                <a16:creationId xmlns:a16="http://schemas.microsoft.com/office/drawing/2014/main" id="{00000000-0008-0000-1400-00005B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2" name="Textfeld 91">
            <a:extLst>
              <a:ext uri="{FF2B5EF4-FFF2-40B4-BE49-F238E27FC236}">
                <a16:creationId xmlns:a16="http://schemas.microsoft.com/office/drawing/2014/main" id="{00000000-0008-0000-1400-00005C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1</xdr:col>
      <xdr:colOff>136337</xdr:colOff>
      <xdr:row>26</xdr:row>
      <xdr:rowOff>190500</xdr:rowOff>
    </xdr:from>
    <xdr:to>
      <xdr:col>7</xdr:col>
      <xdr:colOff>250453</xdr:colOff>
      <xdr:row>49</xdr:row>
      <xdr:rowOff>38100</xdr:rowOff>
    </xdr:to>
    <xdr:graphicFrame macro="">
      <xdr:nvGraphicFramePr>
        <xdr:cNvPr id="85" name="Diagramm 84">
          <a:extLst>
            <a:ext uri="{FF2B5EF4-FFF2-40B4-BE49-F238E27FC236}">
              <a16:creationId xmlns:a16="http://schemas.microsoft.com/office/drawing/2014/main" id="{00000000-0008-0000-1400-00005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142875</xdr:colOff>
      <xdr:row>0</xdr:row>
      <xdr:rowOff>85725</xdr:rowOff>
    </xdr:from>
    <xdr:to>
      <xdr:col>8</xdr:col>
      <xdr:colOff>329175</xdr:colOff>
      <xdr:row>0</xdr:row>
      <xdr:rowOff>509587</xdr:rowOff>
    </xdr:to>
    <xdr:sp macro="" textlink="">
      <xdr:nvSpPr>
        <xdr:cNvPr id="98" name="Rectangle 1">
          <a:extLst>
            <a:ext uri="{FF2B5EF4-FFF2-40B4-BE49-F238E27FC236}">
              <a16:creationId xmlns:a16="http://schemas.microsoft.com/office/drawing/2014/main" id="{00000000-0008-0000-1400-000062000000}"/>
            </a:ext>
          </a:extLst>
        </xdr:cNvPr>
        <xdr:cNvSpPr/>
      </xdr:nvSpPr>
      <xdr:spPr>
        <a:xfrm>
          <a:off x="4352925" y="85725"/>
          <a:ext cx="4644000" cy="423862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5</xdr:col>
      <xdr:colOff>31379</xdr:colOff>
      <xdr:row>0</xdr:row>
      <xdr:rowOff>166686</xdr:rowOff>
    </xdr:from>
    <xdr:to>
      <xdr:col>8</xdr:col>
      <xdr:colOff>128025</xdr:colOff>
      <xdr:row>0</xdr:row>
      <xdr:rowOff>490537</xdr:rowOff>
    </xdr:to>
    <xdr:grpSp>
      <xdr:nvGrpSpPr>
        <xdr:cNvPr id="6" name="Gruppieren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GrpSpPr/>
      </xdr:nvGrpSpPr>
      <xdr:grpSpPr>
        <a:xfrm>
          <a:off x="4374779" y="166686"/>
          <a:ext cx="4691506" cy="323851"/>
          <a:chOff x="4536704" y="109536"/>
          <a:chExt cx="4554346" cy="323851"/>
        </a:xfrm>
      </xdr:grpSpPr>
      <xdr:sp macro="" textlink="">
        <xdr:nvSpPr>
          <xdr:cNvPr id="100" name="Rechteck: obere Ecken abgerundet 13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00000000-0008-0000-1400-000064000000}"/>
              </a:ext>
            </a:extLst>
          </xdr:cNvPr>
          <xdr:cNvSpPr/>
        </xdr:nvSpPr>
        <xdr:spPr>
          <a:xfrm>
            <a:off x="4536704" y="109536"/>
            <a:ext cx="111073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Team</a:t>
            </a:r>
          </a:p>
        </xdr:txBody>
      </xdr:sp>
      <xdr:sp macro="" textlink="' '!A43">
        <xdr:nvSpPr>
          <xdr:cNvPr id="101" name="Rechteck: obere Ecken abgerundet 14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00000000-0008-0000-1400-000065000000}"/>
              </a:ext>
            </a:extLst>
          </xdr:cNvPr>
          <xdr:cNvSpPr/>
        </xdr:nvSpPr>
        <xdr:spPr>
          <a:xfrm>
            <a:off x="5684575" y="109536"/>
            <a:ext cx="111073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4265CAE5-004D-40DE-9320-82539455B74A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Mandat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8">
        <xdr:nvSpPr>
          <xdr:cNvPr id="102" name="Rechteck: obere Ecken abgerundet 15">
            <a:hlinkClick xmlns:r="http://schemas.openxmlformats.org/officeDocument/2006/relationships" r:id="rId7" tooltip="Go to"/>
            <a:extLst>
              <a:ext uri="{FF2B5EF4-FFF2-40B4-BE49-F238E27FC236}">
                <a16:creationId xmlns:a16="http://schemas.microsoft.com/office/drawing/2014/main" id="{00000000-0008-0000-1400-000066000000}"/>
              </a:ext>
            </a:extLst>
          </xdr:cNvPr>
          <xdr:cNvSpPr/>
        </xdr:nvSpPr>
        <xdr:spPr>
          <a:xfrm>
            <a:off x="6832447" y="109536"/>
            <a:ext cx="111073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EC4570A1-6364-4A8D-B7E4-DA543768ED82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Planification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45">
        <xdr:nvSpPr>
          <xdr:cNvPr id="103" name="Rechteck: obere Ecken abgerundet 21">
            <a:hlinkClick xmlns:r="http://schemas.openxmlformats.org/officeDocument/2006/relationships" r:id="rId8" tooltip="Go to"/>
            <a:extLst>
              <a:ext uri="{FF2B5EF4-FFF2-40B4-BE49-F238E27FC236}">
                <a16:creationId xmlns:a16="http://schemas.microsoft.com/office/drawing/2014/main" id="{00000000-0008-0000-1400-000067000000}"/>
              </a:ext>
            </a:extLst>
          </xdr:cNvPr>
          <xdr:cNvSpPr/>
        </xdr:nvSpPr>
        <xdr:spPr>
          <a:xfrm>
            <a:off x="7980318" y="109536"/>
            <a:ext cx="111073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6D18A2F8-5D20-4185-82A8-908756C3DF32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Suivi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171450</xdr:rowOff>
    </xdr:from>
    <xdr:to>
      <xdr:col>0</xdr:col>
      <xdr:colOff>400200</xdr:colOff>
      <xdr:row>0</xdr:row>
      <xdr:rowOff>496915</xdr:rowOff>
    </xdr:to>
    <xdr:grpSp>
      <xdr:nvGrpSpPr>
        <xdr:cNvPr id="93" name="Gruppieren 53">
          <a:hlinkClick xmlns:r="http://schemas.openxmlformats.org/officeDocument/2006/relationships" r:id="rId9" tooltip="back"/>
          <a:extLst>
            <a:ext uri="{FF2B5EF4-FFF2-40B4-BE49-F238E27FC236}">
              <a16:creationId xmlns:a16="http://schemas.microsoft.com/office/drawing/2014/main" id="{00000000-0008-0000-1400-00005D000000}"/>
            </a:ext>
          </a:extLst>
        </xdr:cNvPr>
        <xdr:cNvGrpSpPr/>
      </xdr:nvGrpSpPr>
      <xdr:grpSpPr>
        <a:xfrm>
          <a:off x="76200" y="171450"/>
          <a:ext cx="324000" cy="325465"/>
          <a:chOff x="9191625" y="3009900"/>
          <a:chExt cx="324000" cy="325465"/>
        </a:xfrm>
      </xdr:grpSpPr>
      <xdr:sp macro="" textlink="">
        <xdr:nvSpPr>
          <xdr:cNvPr id="94" name="Rechteck 57">
            <a:extLst>
              <a:ext uri="{FF2B5EF4-FFF2-40B4-BE49-F238E27FC236}">
                <a16:creationId xmlns:a16="http://schemas.microsoft.com/office/drawing/2014/main" id="{00000000-0008-0000-1400-00005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5" name="Pfeil nach links 58">
            <a:extLst>
              <a:ext uri="{FF2B5EF4-FFF2-40B4-BE49-F238E27FC236}">
                <a16:creationId xmlns:a16="http://schemas.microsoft.com/office/drawing/2014/main" id="{00000000-0008-0000-1400-00005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655320</xdr:colOff>
      <xdr:row>4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SpPr txBox="1"/>
      </xdr:nvSpPr>
      <xdr:spPr>
        <a:xfrm>
          <a:off x="1965960" y="1619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twoCellAnchor editAs="oneCell">
    <xdr:from>
      <xdr:col>0</xdr:col>
      <xdr:colOff>91440</xdr:colOff>
      <xdr:row>0</xdr:row>
      <xdr:rowOff>169545</xdr:rowOff>
    </xdr:from>
    <xdr:to>
      <xdr:col>0</xdr:col>
      <xdr:colOff>424965</xdr:colOff>
      <xdr:row>0</xdr:row>
      <xdr:rowOff>495010</xdr:rowOff>
    </xdr:to>
    <xdr:grpSp>
      <xdr:nvGrpSpPr>
        <xdr:cNvPr id="9" name="Gruppieren 53">
          <a:hlinkClick xmlns:r="http://schemas.openxmlformats.org/officeDocument/2006/relationships" r:id="rId1" tooltip="Team"/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GrpSpPr/>
      </xdr:nvGrpSpPr>
      <xdr:grpSpPr>
        <a:xfrm>
          <a:off x="91440" y="169545"/>
          <a:ext cx="333525" cy="325465"/>
          <a:chOff x="9191625" y="3009900"/>
          <a:chExt cx="324000" cy="325465"/>
        </a:xfrm>
      </xdr:grpSpPr>
      <xdr:sp macro="" textlink="">
        <xdr:nvSpPr>
          <xdr:cNvPr id="10" name="Rechteck 57">
            <a:extLst>
              <a:ext uri="{FF2B5EF4-FFF2-40B4-BE49-F238E27FC236}">
                <a16:creationId xmlns:a16="http://schemas.microsoft.com/office/drawing/2014/main" id="{00000000-0008-0000-1700-00000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" name="Pfeil nach links 58">
            <a:extLst>
              <a:ext uri="{FF2B5EF4-FFF2-40B4-BE49-F238E27FC236}">
                <a16:creationId xmlns:a16="http://schemas.microsoft.com/office/drawing/2014/main" id="{00000000-0008-0000-1700-00000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0</xdr:row>
          <xdr:rowOff>19050</xdr:rowOff>
        </xdr:from>
        <xdr:to>
          <xdr:col>5</xdr:col>
          <xdr:colOff>264121</xdr:colOff>
          <xdr:row>0</xdr:row>
          <xdr:rowOff>552450</xdr:rowOff>
        </xdr:to>
        <xdr:pic>
          <xdr:nvPicPr>
            <xdr:cNvPr id="13" name="Grafik 12">
              <a:extLst>
                <a:ext uri="{FF2B5EF4-FFF2-40B4-BE49-F238E27FC236}">
                  <a16:creationId xmlns:a16="http://schemas.microsoft.com/office/drawing/2014/main" id="{00000000-0008-0000-1700-00000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0095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838700" y="19050"/>
              <a:ext cx="217170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5</xdr:col>
      <xdr:colOff>90486</xdr:colOff>
      <xdr:row>2</xdr:row>
      <xdr:rowOff>33337</xdr:rowOff>
    </xdr:from>
    <xdr:to>
      <xdr:col>6</xdr:col>
      <xdr:colOff>3786</xdr:colOff>
      <xdr:row>2</xdr:row>
      <xdr:rowOff>213337</xdr:rowOff>
    </xdr:to>
    <xdr:grpSp>
      <xdr:nvGrpSpPr>
        <xdr:cNvPr id="14" name="Gruppieren 47">
          <a:hlinkClick xmlns:r="http://schemas.openxmlformats.org/officeDocument/2006/relationships" r:id="rId3" tooltip="Help"/>
          <a:extLst>
            <a:ext uri="{FF2B5EF4-FFF2-40B4-BE49-F238E27FC236}">
              <a16:creationId xmlns:a16="http://schemas.microsoft.com/office/drawing/2014/main" id="{00000000-0008-0000-1700-00000E000000}"/>
            </a:ext>
          </a:extLst>
        </xdr:cNvPr>
        <xdr:cNvGrpSpPr>
          <a:grpSpLocks noChangeAspect="1"/>
        </xdr:cNvGrpSpPr>
      </xdr:nvGrpSpPr>
      <xdr:grpSpPr>
        <a:xfrm>
          <a:off x="7024686" y="612457"/>
          <a:ext cx="187620" cy="180000"/>
          <a:chOff x="8105775" y="571500"/>
          <a:chExt cx="172800" cy="172800"/>
        </a:xfrm>
      </xdr:grpSpPr>
      <xdr:sp macro="" textlink="">
        <xdr:nvSpPr>
          <xdr:cNvPr id="15" name="Rechteck 48">
            <a:extLst>
              <a:ext uri="{FF2B5EF4-FFF2-40B4-BE49-F238E27FC236}">
                <a16:creationId xmlns:a16="http://schemas.microsoft.com/office/drawing/2014/main" id="{00000000-0008-0000-1700-00000F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" name="Textfeld 49">
            <a:extLst>
              <a:ext uri="{FF2B5EF4-FFF2-40B4-BE49-F238E27FC236}">
                <a16:creationId xmlns:a16="http://schemas.microsoft.com/office/drawing/2014/main" id="{00000000-0008-0000-1700-000010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absolute">
    <xdr:from>
      <xdr:col>4</xdr:col>
      <xdr:colOff>1614487</xdr:colOff>
      <xdr:row>2</xdr:row>
      <xdr:rowOff>33337</xdr:rowOff>
    </xdr:from>
    <xdr:to>
      <xdr:col>4</xdr:col>
      <xdr:colOff>1804154</xdr:colOff>
      <xdr:row>2</xdr:row>
      <xdr:rowOff>213337</xdr:rowOff>
    </xdr:to>
    <xdr:sp macro="[0]!Register_ein" textlink="">
      <xdr:nvSpPr>
        <xdr:cNvPr id="17" name="Rechteck 78">
          <a:extLst>
            <a:ext uri="{FF2B5EF4-FFF2-40B4-BE49-F238E27FC236}">
              <a16:creationId xmlns:a16="http://schemas.microsoft.com/office/drawing/2014/main" id="{00000000-0008-0000-1700-000011000000}"/>
            </a:ext>
          </a:extLst>
        </xdr:cNvPr>
        <xdr:cNvSpPr>
          <a:spLocks noChangeAspect="1"/>
        </xdr:cNvSpPr>
      </xdr:nvSpPr>
      <xdr:spPr>
        <a:xfrm>
          <a:off x="6262687" y="614362"/>
          <a:ext cx="189667" cy="18000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6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+</a:t>
          </a:r>
        </a:p>
      </xdr:txBody>
    </xdr:sp>
    <xdr:clientData fPrintsWithSheet="0"/>
  </xdr:twoCellAnchor>
  <xdr:twoCellAnchor editAs="absolute">
    <xdr:from>
      <xdr:col>4</xdr:col>
      <xdr:colOff>1844039</xdr:colOff>
      <xdr:row>2</xdr:row>
      <xdr:rowOff>33337</xdr:rowOff>
    </xdr:from>
    <xdr:to>
      <xdr:col>4</xdr:col>
      <xdr:colOff>2024039</xdr:colOff>
      <xdr:row>2</xdr:row>
      <xdr:rowOff>213337</xdr:rowOff>
    </xdr:to>
    <xdr:sp macro="[0]!Register_aus" textlink="">
      <xdr:nvSpPr>
        <xdr:cNvPr id="18" name="Rechteck 84">
          <a:extLst>
            <a:ext uri="{FF2B5EF4-FFF2-40B4-BE49-F238E27FC236}">
              <a16:creationId xmlns:a16="http://schemas.microsoft.com/office/drawing/2014/main" id="{00000000-0008-0000-1700-000012000000}"/>
            </a:ext>
          </a:extLst>
        </xdr:cNvPr>
        <xdr:cNvSpPr>
          <a:spLocks/>
        </xdr:cNvSpPr>
      </xdr:nvSpPr>
      <xdr:spPr>
        <a:xfrm>
          <a:off x="6492239" y="614362"/>
          <a:ext cx="180000" cy="18000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-</a:t>
          </a:r>
        </a:p>
      </xdr:txBody>
    </xdr:sp>
    <xdr:clientData fPrintsWithSheet="0"/>
  </xdr:twoCellAnchor>
  <xdr:twoCellAnchor editAs="oneCell">
    <xdr:from>
      <xdr:col>2</xdr:col>
      <xdr:colOff>409575</xdr:colOff>
      <xdr:row>3</xdr:row>
      <xdr:rowOff>57150</xdr:rowOff>
    </xdr:from>
    <xdr:to>
      <xdr:col>2</xdr:col>
      <xdr:colOff>589575</xdr:colOff>
      <xdr:row>3</xdr:row>
      <xdr:rowOff>237150</xdr:rowOff>
    </xdr:to>
    <xdr:pic macro="[0]!Filter_aus">
      <xdr:nvPicPr>
        <xdr:cNvPr id="19" name="Grafik 18">
          <a:extLst>
            <a:ext uri="{FF2B5EF4-FFF2-40B4-BE49-F238E27FC236}">
              <a16:creationId xmlns:a16="http://schemas.microsoft.com/office/drawing/2014/main" id="{00000000-0008-0000-17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" y="904875"/>
          <a:ext cx="180000" cy="180000"/>
        </a:xfrm>
        <a:prstGeom prst="rect">
          <a:avLst/>
        </a:prstGeom>
      </xdr:spPr>
    </xdr:pic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1903</xdr:colOff>
      <xdr:row>0</xdr:row>
      <xdr:rowOff>373380</xdr:rowOff>
    </xdr:from>
    <xdr:to>
      <xdr:col>13</xdr:col>
      <xdr:colOff>0</xdr:colOff>
      <xdr:row>1</xdr:row>
      <xdr:rowOff>901065</xdr:rowOff>
    </xdr:to>
    <xdr:sp macro="" textlink="">
      <xdr:nvSpPr>
        <xdr:cNvPr id="2" name="Année de la liste de tâches" descr="Onglet indiquant l’année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/>
      </xdr:nvSpPr>
      <xdr:spPr>
        <a:xfrm>
          <a:off x="9839323" y="373380"/>
          <a:ext cx="950597" cy="908685"/>
        </a:xfrm>
        <a:prstGeom prst="rect">
          <a:avLst/>
        </a:prstGeom>
        <a:solidFill>
          <a:schemeClr val="accent1">
            <a:lumMod val="75000"/>
          </a:schemeClr>
        </a:solidFill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 rtl="0"/>
          <a:endParaRPr lang="en-US" sz="1600">
            <a:solidFill>
              <a:schemeClr val="bg1"/>
            </a:solidFill>
            <a:latin typeface="+mj-lt"/>
          </a:endParaRPr>
        </a:p>
      </xdr:txBody>
    </xdr:sp>
    <xdr:clientData/>
  </xdr:twoCellAnchor>
  <xdr:twoCellAnchor>
    <xdr:from>
      <xdr:col>12</xdr:col>
      <xdr:colOff>1095375</xdr:colOff>
      <xdr:row>0</xdr:row>
      <xdr:rowOff>0</xdr:rowOff>
    </xdr:from>
    <xdr:to>
      <xdr:col>13</xdr:col>
      <xdr:colOff>38100</xdr:colOff>
      <xdr:row>1</xdr:row>
      <xdr:rowOff>0</xdr:rowOff>
    </xdr:to>
    <xdr:sp macro="" textlink="">
      <xdr:nvSpPr>
        <xdr:cNvPr id="7" name="Année de la liste de tâches" descr="Forme de remplissage de cellule 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SpPr/>
      </xdr:nvSpPr>
      <xdr:spPr>
        <a:xfrm>
          <a:off x="10788015" y="0"/>
          <a:ext cx="40005" cy="3810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 rtl="0"/>
          <a:endParaRPr lang="en-US" sz="1600">
            <a:solidFill>
              <a:schemeClr val="bg1"/>
            </a:solidFill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510540</xdr:colOff>
          <xdr:row>1</xdr:row>
          <xdr:rowOff>68580</xdr:rowOff>
        </xdr:from>
        <xdr:to>
          <xdr:col>13</xdr:col>
          <xdr:colOff>2740621</xdr:colOff>
          <xdr:row>1</xdr:row>
          <xdr:rowOff>601980</xdr:rowOff>
        </xdr:to>
        <xdr:pic>
          <xdr:nvPicPr>
            <xdr:cNvPr id="8" name="Grafik 7">
              <a:extLst>
                <a:ext uri="{FF2B5EF4-FFF2-40B4-BE49-F238E27FC236}">
                  <a16:creationId xmlns:a16="http://schemas.microsoft.com/office/drawing/2014/main" id="{00000000-0008-0000-18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6876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1300460" y="449580"/>
              <a:ext cx="2230081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30480</xdr:colOff>
      <xdr:row>1</xdr:row>
      <xdr:rowOff>0</xdr:rowOff>
    </xdr:from>
    <xdr:to>
      <xdr:col>1</xdr:col>
      <xdr:colOff>165885</xdr:colOff>
      <xdr:row>1</xdr:row>
      <xdr:rowOff>325465</xdr:rowOff>
    </xdr:to>
    <xdr:grpSp>
      <xdr:nvGrpSpPr>
        <xdr:cNvPr id="9" name="Gruppieren 53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GrpSpPr/>
      </xdr:nvGrpSpPr>
      <xdr:grpSpPr>
        <a:xfrm>
          <a:off x="30480" y="381000"/>
          <a:ext cx="333525" cy="325465"/>
          <a:chOff x="9191625" y="3009900"/>
          <a:chExt cx="324000" cy="325465"/>
        </a:xfrm>
      </xdr:grpSpPr>
      <xdr:sp macro="" textlink="">
        <xdr:nvSpPr>
          <xdr:cNvPr id="10" name="Rechteck 57">
            <a:extLst>
              <a:ext uri="{FF2B5EF4-FFF2-40B4-BE49-F238E27FC236}">
                <a16:creationId xmlns:a16="http://schemas.microsoft.com/office/drawing/2014/main" id="{00000000-0008-0000-1800-00000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" name="Pfeil nach links 58">
            <a:extLst>
              <a:ext uri="{FF2B5EF4-FFF2-40B4-BE49-F238E27FC236}">
                <a16:creationId xmlns:a16="http://schemas.microsoft.com/office/drawing/2014/main" id="{00000000-0008-0000-1800-00000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655320</xdr:colOff>
      <xdr:row>4</xdr:row>
      <xdr:rowOff>0</xdr:rowOff>
    </xdr:from>
    <xdr:ext cx="184731" cy="264560"/>
    <xdr:sp macro="" textlink="">
      <xdr:nvSpPr>
        <xdr:cNvPr id="2" name="TextBox 10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 txBox="1"/>
      </xdr:nvSpPr>
      <xdr:spPr>
        <a:xfrm>
          <a:off x="1995170" y="11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twoCellAnchor editAs="oneCell">
    <xdr:from>
      <xdr:col>0</xdr:col>
      <xdr:colOff>91440</xdr:colOff>
      <xdr:row>0</xdr:row>
      <xdr:rowOff>169545</xdr:rowOff>
    </xdr:from>
    <xdr:to>
      <xdr:col>0</xdr:col>
      <xdr:colOff>424965</xdr:colOff>
      <xdr:row>0</xdr:row>
      <xdr:rowOff>495010</xdr:rowOff>
    </xdr:to>
    <xdr:grpSp>
      <xdr:nvGrpSpPr>
        <xdr:cNvPr id="3" name="Gruppieren 53">
          <a:hlinkClick xmlns:r="http://schemas.openxmlformats.org/officeDocument/2006/relationships" r:id="rId1" tooltip="Team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pSpPr/>
      </xdr:nvGrpSpPr>
      <xdr:grpSpPr>
        <a:xfrm>
          <a:off x="91440" y="169545"/>
          <a:ext cx="333525" cy="325465"/>
          <a:chOff x="9191625" y="3009900"/>
          <a:chExt cx="324000" cy="325465"/>
        </a:xfrm>
      </xdr:grpSpPr>
      <xdr:sp macro="" textlink="">
        <xdr:nvSpPr>
          <xdr:cNvPr id="4" name="Rechteck 57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Pfeil nach links 58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2220546</xdr:colOff>
          <xdr:row>0</xdr:row>
          <xdr:rowOff>27354</xdr:rowOff>
        </xdr:from>
        <xdr:to>
          <xdr:col>4</xdr:col>
          <xdr:colOff>4284296</xdr:colOff>
          <xdr:row>0</xdr:row>
          <xdr:rowOff>548054</xdr:rowOff>
        </xdr:to>
        <xdr:pic>
          <xdr:nvPicPr>
            <xdr:cNvPr id="6" name="Grafik 5">
              <a:extLst>
                <a:ext uri="{FF2B5EF4-FFF2-40B4-BE49-F238E27FC236}">
                  <a16:creationId xmlns:a16="http://schemas.microsoft.com/office/drawing/2014/main" id="{00000000-0008-0000-19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50430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960815" y="27354"/>
              <a:ext cx="2063750" cy="5207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4</xdr:col>
      <xdr:colOff>3793514</xdr:colOff>
      <xdr:row>2</xdr:row>
      <xdr:rowOff>25400</xdr:rowOff>
    </xdr:from>
    <xdr:to>
      <xdr:col>4</xdr:col>
      <xdr:colOff>4215766</xdr:colOff>
      <xdr:row>2</xdr:row>
      <xdr:rowOff>205400</xdr:rowOff>
    </xdr:to>
    <xdr:grpSp>
      <xdr:nvGrpSpPr>
        <xdr:cNvPr id="12" name="Gruppieren 1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/>
      </xdr:nvGrpSpPr>
      <xdr:grpSpPr>
        <a:xfrm>
          <a:off x="6605294" y="604520"/>
          <a:ext cx="422252" cy="180000"/>
          <a:chOff x="6431206" y="604227"/>
          <a:chExt cx="422252" cy="180000"/>
        </a:xfrm>
      </xdr:grpSpPr>
      <xdr:sp macro="[0]!Register_ein" textlink="">
        <xdr:nvSpPr>
          <xdr:cNvPr id="10" name="Rechteck 78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spect="1"/>
          </xdr:cNvSpPr>
        </xdr:nvSpPr>
        <xdr:spPr>
          <a:xfrm>
            <a:off x="6431206" y="604227"/>
            <a:ext cx="189667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6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+</a:t>
            </a:r>
          </a:p>
        </xdr:txBody>
      </xdr:sp>
      <xdr:sp macro="[0]!Register_aus" textlink="">
        <xdr:nvSpPr>
          <xdr:cNvPr id="11" name="Rechteck 84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SpPr>
            <a:spLocks/>
          </xdr:cNvSpPr>
        </xdr:nvSpPr>
        <xdr:spPr>
          <a:xfrm>
            <a:off x="6673458" y="604227"/>
            <a:ext cx="18000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8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-</a:t>
            </a:r>
          </a:p>
        </xdr:txBody>
      </xdr:sp>
    </xdr:grp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66675</xdr:colOff>
      <xdr:row>3</xdr:row>
      <xdr:rowOff>47626</xdr:rowOff>
    </xdr:from>
    <xdr:to>
      <xdr:col>43</xdr:col>
      <xdr:colOff>47625</xdr:colOff>
      <xdr:row>5</xdr:row>
      <xdr:rowOff>85726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00000000-0008-0000-1A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18</xdr:col>
      <xdr:colOff>57150</xdr:colOff>
      <xdr:row>26</xdr:row>
      <xdr:rowOff>76201</xdr:rowOff>
    </xdr:from>
    <xdr:to>
      <xdr:col>43</xdr:col>
      <xdr:colOff>38100</xdr:colOff>
      <xdr:row>29</xdr:row>
      <xdr:rowOff>19051</xdr:rowOff>
    </xdr:to>
    <xdr:graphicFrame macro="">
      <xdr:nvGraphicFramePr>
        <xdr:cNvPr id="25" name="Diagramm 24">
          <a:extLst>
            <a:ext uri="{FF2B5EF4-FFF2-40B4-BE49-F238E27FC236}">
              <a16:creationId xmlns:a16="http://schemas.microsoft.com/office/drawing/2014/main" id="{00000000-0008-0000-1A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9525</xdr:colOff>
      <xdr:row>0</xdr:row>
      <xdr:rowOff>171450</xdr:rowOff>
    </xdr:from>
    <xdr:to>
      <xdr:col>4</xdr:col>
      <xdr:colOff>9675</xdr:colOff>
      <xdr:row>0</xdr:row>
      <xdr:rowOff>496915</xdr:rowOff>
    </xdr:to>
    <xdr:grpSp>
      <xdr:nvGrpSpPr>
        <xdr:cNvPr id="24" name="Gruppieren 23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1A00-000018000000}"/>
            </a:ext>
          </a:extLst>
        </xdr:cNvPr>
        <xdr:cNvGrpSpPr/>
      </xdr:nvGrpSpPr>
      <xdr:grpSpPr>
        <a:xfrm>
          <a:off x="70485" y="171450"/>
          <a:ext cx="358290" cy="325465"/>
          <a:chOff x="12729063" y="1298331"/>
          <a:chExt cx="324000" cy="323267"/>
        </a:xfrm>
      </xdr:grpSpPr>
      <xdr:sp macro="" textlink="">
        <xdr:nvSpPr>
          <xdr:cNvPr id="29" name="Rechteck 28">
            <a:extLst>
              <a:ext uri="{FF2B5EF4-FFF2-40B4-BE49-F238E27FC236}">
                <a16:creationId xmlns:a16="http://schemas.microsoft.com/office/drawing/2014/main" id="{00000000-0008-0000-1A00-00001D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0" name="Grafik 29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A00-00001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39</xdr:col>
      <xdr:colOff>66675</xdr:colOff>
      <xdr:row>6</xdr:row>
      <xdr:rowOff>32385</xdr:rowOff>
    </xdr:from>
    <xdr:to>
      <xdr:col>41</xdr:col>
      <xdr:colOff>48555</xdr:colOff>
      <xdr:row>6</xdr:row>
      <xdr:rowOff>212385</xdr:rowOff>
    </xdr:to>
    <xdr:grpSp>
      <xdr:nvGrpSpPr>
        <xdr:cNvPr id="31" name="Gruppieren 30">
          <a:hlinkClick xmlns:r="http://schemas.openxmlformats.org/officeDocument/2006/relationships" r:id="rId5" tooltip="Team"/>
          <a:extLst>
            <a:ext uri="{FF2B5EF4-FFF2-40B4-BE49-F238E27FC236}">
              <a16:creationId xmlns:a16="http://schemas.microsoft.com/office/drawing/2014/main" id="{00000000-0008-0000-1A00-00001F000000}"/>
            </a:ext>
          </a:extLst>
        </xdr:cNvPr>
        <xdr:cNvGrpSpPr>
          <a:grpSpLocks/>
        </xdr:cNvGrpSpPr>
      </xdr:nvGrpSpPr>
      <xdr:grpSpPr>
        <a:xfrm>
          <a:off x="3861435" y="1548765"/>
          <a:ext cx="180000" cy="180000"/>
          <a:chOff x="12020550" y="2171700"/>
          <a:chExt cx="324000" cy="325465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1A00-000020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" name="Pfeil nach rechts 32">
            <a:extLst>
              <a:ext uri="{FF2B5EF4-FFF2-40B4-BE49-F238E27FC236}">
                <a16:creationId xmlns:a16="http://schemas.microsoft.com/office/drawing/2014/main" id="{00000000-0008-0000-1A00-000021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18</xdr:col>
      <xdr:colOff>66675</xdr:colOff>
      <xdr:row>59</xdr:row>
      <xdr:rowOff>28575</xdr:rowOff>
    </xdr:from>
    <xdr:to>
      <xdr:col>43</xdr:col>
      <xdr:colOff>47625</xdr:colOff>
      <xdr:row>61</xdr:row>
      <xdr:rowOff>85725</xdr:rowOff>
    </xdr:to>
    <xdr:graphicFrame macro="">
      <xdr:nvGraphicFramePr>
        <xdr:cNvPr id="17" name="Diagramm 16">
          <a:extLst>
            <a:ext uri="{FF2B5EF4-FFF2-40B4-BE49-F238E27FC236}">
              <a16:creationId xmlns:a16="http://schemas.microsoft.com/office/drawing/2014/main" id="{00000000-0008-0000-1A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39</xdr:col>
      <xdr:colOff>66675</xdr:colOff>
      <xdr:row>29</xdr:row>
      <xdr:rowOff>32385</xdr:rowOff>
    </xdr:from>
    <xdr:to>
      <xdr:col>41</xdr:col>
      <xdr:colOff>48555</xdr:colOff>
      <xdr:row>29</xdr:row>
      <xdr:rowOff>212385</xdr:rowOff>
    </xdr:to>
    <xdr:grpSp>
      <xdr:nvGrpSpPr>
        <xdr:cNvPr id="18" name="Gruppieren 17">
          <a:hlinkClick xmlns:r="http://schemas.openxmlformats.org/officeDocument/2006/relationships" r:id="rId7" tooltip="Team"/>
          <a:extLst>
            <a:ext uri="{FF2B5EF4-FFF2-40B4-BE49-F238E27FC236}">
              <a16:creationId xmlns:a16="http://schemas.microsoft.com/office/drawing/2014/main" id="{00000000-0008-0000-1A00-000012000000}"/>
            </a:ext>
          </a:extLst>
        </xdr:cNvPr>
        <xdr:cNvGrpSpPr>
          <a:grpSpLocks/>
        </xdr:cNvGrpSpPr>
      </xdr:nvGrpSpPr>
      <xdr:grpSpPr>
        <a:xfrm>
          <a:off x="3861435" y="6638925"/>
          <a:ext cx="180000" cy="180000"/>
          <a:chOff x="12020550" y="2171700"/>
          <a:chExt cx="324000" cy="325465"/>
        </a:xfrm>
      </xdr:grpSpPr>
      <xdr:sp macro="" textlink="">
        <xdr:nvSpPr>
          <xdr:cNvPr id="19" name="Rechteck 18">
            <a:extLst>
              <a:ext uri="{FF2B5EF4-FFF2-40B4-BE49-F238E27FC236}">
                <a16:creationId xmlns:a16="http://schemas.microsoft.com/office/drawing/2014/main" id="{00000000-0008-0000-1A00-000013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" name="Pfeil nach rechts 19">
            <a:extLst>
              <a:ext uri="{FF2B5EF4-FFF2-40B4-BE49-F238E27FC236}">
                <a16:creationId xmlns:a16="http://schemas.microsoft.com/office/drawing/2014/main" id="{00000000-0008-0000-1A00-000014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90</xdr:col>
          <xdr:colOff>76200</xdr:colOff>
          <xdr:row>0</xdr:row>
          <xdr:rowOff>19050</xdr:rowOff>
        </xdr:from>
        <xdr:to>
          <xdr:col>113</xdr:col>
          <xdr:colOff>9525</xdr:colOff>
          <xdr:row>0</xdr:row>
          <xdr:rowOff>552450</xdr:rowOff>
        </xdr:to>
        <xdr:pic>
          <xdr:nvPicPr>
            <xdr:cNvPr id="28" name="Grafik 27">
              <a:extLst>
                <a:ext uri="{FF2B5EF4-FFF2-40B4-BE49-F238E27FC236}">
                  <a16:creationId xmlns:a16="http://schemas.microsoft.com/office/drawing/2014/main" id="{00000000-0008-0000-1A00-00001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12220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305800" y="19050"/>
              <a:ext cx="217170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106</xdr:col>
      <xdr:colOff>71437</xdr:colOff>
      <xdr:row>1</xdr:row>
      <xdr:rowOff>61912</xdr:rowOff>
    </xdr:from>
    <xdr:to>
      <xdr:col>112</xdr:col>
      <xdr:colOff>141899</xdr:colOff>
      <xdr:row>2</xdr:row>
      <xdr:rowOff>60937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GrpSpPr/>
      </xdr:nvGrpSpPr>
      <xdr:grpSpPr>
        <a:xfrm>
          <a:off x="10274617" y="633412"/>
          <a:ext cx="664822" cy="174285"/>
          <a:chOff x="9825037" y="633412"/>
          <a:chExt cx="641962" cy="180000"/>
        </a:xfrm>
      </xdr:grpSpPr>
      <xdr:grpSp>
        <xdr:nvGrpSpPr>
          <xdr:cNvPr id="34" name="Gruppieren 47">
            <a:hlinkClick xmlns:r="http://schemas.openxmlformats.org/officeDocument/2006/relationships" r:id="rId9" tooltip="Help"/>
            <a:extLst>
              <a:ext uri="{FF2B5EF4-FFF2-40B4-BE49-F238E27FC236}">
                <a16:creationId xmlns:a16="http://schemas.microsoft.com/office/drawing/2014/main" id="{00000000-0008-0000-1A00-000022000000}"/>
              </a:ext>
            </a:extLst>
          </xdr:cNvPr>
          <xdr:cNvGrpSpPr>
            <a:grpSpLocks noChangeAspect="1"/>
          </xdr:cNvGrpSpPr>
        </xdr:nvGrpSpPr>
        <xdr:grpSpPr>
          <a:xfrm>
            <a:off x="10301286" y="633412"/>
            <a:ext cx="165713" cy="180000"/>
            <a:chOff x="8105775" y="571500"/>
            <a:chExt cx="172800" cy="172800"/>
          </a:xfrm>
        </xdr:grpSpPr>
        <xdr:sp macro="" textlink="">
          <xdr:nvSpPr>
            <xdr:cNvPr id="35" name="Rechteck 48">
              <a:extLst>
                <a:ext uri="{FF2B5EF4-FFF2-40B4-BE49-F238E27FC236}">
                  <a16:creationId xmlns:a16="http://schemas.microsoft.com/office/drawing/2014/main" id="{00000000-0008-0000-1A00-000023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36" name="Textfeld 49">
              <a:extLst>
                <a:ext uri="{FF2B5EF4-FFF2-40B4-BE49-F238E27FC236}">
                  <a16:creationId xmlns:a16="http://schemas.microsoft.com/office/drawing/2014/main" id="{00000000-0008-0000-1A00-000024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xdr:sp macro="[0]!Register_ein" textlink="">
        <xdr:nvSpPr>
          <xdr:cNvPr id="40" name="Rechteck 78">
            <a:extLst>
              <a:ext uri="{FF2B5EF4-FFF2-40B4-BE49-F238E27FC236}">
                <a16:creationId xmlns:a16="http://schemas.microsoft.com/office/drawing/2014/main" id="{00000000-0008-0000-1A00-000028000000}"/>
              </a:ext>
            </a:extLst>
          </xdr:cNvPr>
          <xdr:cNvSpPr>
            <a:spLocks noChangeAspect="1"/>
          </xdr:cNvSpPr>
        </xdr:nvSpPr>
        <xdr:spPr>
          <a:xfrm>
            <a:off x="9825037" y="633412"/>
            <a:ext cx="180142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6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+</a:t>
            </a:r>
          </a:p>
        </xdr:txBody>
      </xdr:sp>
      <xdr:sp macro="[0]!Register_aus" textlink="">
        <xdr:nvSpPr>
          <xdr:cNvPr id="41" name="Rechteck 84">
            <a:extLst>
              <a:ext uri="{FF2B5EF4-FFF2-40B4-BE49-F238E27FC236}">
                <a16:creationId xmlns:a16="http://schemas.microsoft.com/office/drawing/2014/main" id="{00000000-0008-0000-1A00-000029000000}"/>
              </a:ext>
            </a:extLst>
          </xdr:cNvPr>
          <xdr:cNvSpPr>
            <a:spLocks/>
          </xdr:cNvSpPr>
        </xdr:nvSpPr>
        <xdr:spPr>
          <a:xfrm>
            <a:off x="10035538" y="633412"/>
            <a:ext cx="18000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8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-</a:t>
            </a:r>
          </a:p>
        </xdr:txBody>
      </xdr:sp>
    </xdr:grpSp>
    <xdr:clientData fPrintsWithSheet="0"/>
  </xdr:twoCellAnchor>
  <xdr:twoCellAnchor editAs="oneCell">
    <xdr:from>
      <xdr:col>18</xdr:col>
      <xdr:colOff>61913</xdr:colOff>
      <xdr:row>63</xdr:row>
      <xdr:rowOff>57150</xdr:rowOff>
    </xdr:from>
    <xdr:to>
      <xdr:col>43</xdr:col>
      <xdr:colOff>42863</xdr:colOff>
      <xdr:row>66</xdr:row>
      <xdr:rowOff>0</xdr:rowOff>
    </xdr:to>
    <xdr:graphicFrame macro="">
      <xdr:nvGraphicFramePr>
        <xdr:cNvPr id="22" name="Diagramm 24">
          <a:extLst>
            <a:ext uri="{FF2B5EF4-FFF2-40B4-BE49-F238E27FC236}">
              <a16:creationId xmlns:a16="http://schemas.microsoft.com/office/drawing/2014/main" id="{00000000-0008-0000-1A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190955</xdr:colOff>
      <xdr:row>1</xdr:row>
      <xdr:rowOff>61907</xdr:rowOff>
    </xdr:from>
    <xdr:to>
      <xdr:col>68</xdr:col>
      <xdr:colOff>14005</xdr:colOff>
      <xdr:row>2</xdr:row>
      <xdr:rowOff>204783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pSpPr/>
      </xdr:nvGrpSpPr>
      <xdr:grpSpPr>
        <a:xfrm>
          <a:off x="411935" y="633407"/>
          <a:ext cx="6132410" cy="318136"/>
          <a:chOff x="405268" y="633407"/>
          <a:chExt cx="6147650" cy="323851"/>
        </a:xfrm>
      </xdr:grpSpPr>
      <xdr:sp macro="" textlink="">
        <xdr:nvSpPr>
          <xdr:cNvPr id="37" name="Rechteck: obere Ecken abgerundet 13">
            <a:hlinkClick xmlns:r="http://schemas.openxmlformats.org/officeDocument/2006/relationships" r:id="rId11" tooltip="Go to"/>
            <a:extLst>
              <a:ext uri="{FF2B5EF4-FFF2-40B4-BE49-F238E27FC236}">
                <a16:creationId xmlns:a16="http://schemas.microsoft.com/office/drawing/2014/main" id="{00000000-0008-0000-1A00-000025000000}"/>
              </a:ext>
            </a:extLst>
          </xdr:cNvPr>
          <xdr:cNvSpPr/>
        </xdr:nvSpPr>
        <xdr:spPr>
          <a:xfrm>
            <a:off x="405268" y="633407"/>
            <a:ext cx="1196163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Team</a:t>
            </a:r>
          </a:p>
        </xdr:txBody>
      </xdr:sp>
      <xdr:sp macro="" textlink="' '!A43">
        <xdr:nvSpPr>
          <xdr:cNvPr id="38" name="Rechteck: obere Ecken abgerundet 14">
            <a:hlinkClick xmlns:r="http://schemas.openxmlformats.org/officeDocument/2006/relationships" r:id="rId12" tooltip="Go to"/>
            <a:extLst>
              <a:ext uri="{FF2B5EF4-FFF2-40B4-BE49-F238E27FC236}">
                <a16:creationId xmlns:a16="http://schemas.microsoft.com/office/drawing/2014/main" id="{00000000-0008-0000-1A00-000026000000}"/>
              </a:ext>
            </a:extLst>
          </xdr:cNvPr>
          <xdr:cNvSpPr/>
        </xdr:nvSpPr>
        <xdr:spPr>
          <a:xfrm>
            <a:off x="1643140" y="633407"/>
            <a:ext cx="1196163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3C197A3B-565C-473A-93F8-801F1709354A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Mandat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8">
        <xdr:nvSpPr>
          <xdr:cNvPr id="39" name="Rechteck: obere Ecken abgerundet 15">
            <a:hlinkClick xmlns:r="http://schemas.openxmlformats.org/officeDocument/2006/relationships" r:id="rId13" tooltip="Go to"/>
            <a:extLst>
              <a:ext uri="{FF2B5EF4-FFF2-40B4-BE49-F238E27FC236}">
                <a16:creationId xmlns:a16="http://schemas.microsoft.com/office/drawing/2014/main" id="{00000000-0008-0000-1A00-000027000000}"/>
              </a:ext>
            </a:extLst>
          </xdr:cNvPr>
          <xdr:cNvSpPr/>
        </xdr:nvSpPr>
        <xdr:spPr>
          <a:xfrm>
            <a:off x="2881012" y="633407"/>
            <a:ext cx="1196163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43347A05-79B5-40E9-AD88-A44D575072DF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Planification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45">
        <xdr:nvSpPr>
          <xdr:cNvPr id="42" name="Rechteck: obere Ecken abgerundet 21">
            <a:hlinkClick xmlns:r="http://schemas.openxmlformats.org/officeDocument/2006/relationships" r:id="rId14" tooltip="Go to"/>
            <a:extLst>
              <a:ext uri="{FF2B5EF4-FFF2-40B4-BE49-F238E27FC236}">
                <a16:creationId xmlns:a16="http://schemas.microsoft.com/office/drawing/2014/main" id="{00000000-0008-0000-1A00-00002A000000}"/>
              </a:ext>
            </a:extLst>
          </xdr:cNvPr>
          <xdr:cNvSpPr/>
        </xdr:nvSpPr>
        <xdr:spPr>
          <a:xfrm>
            <a:off x="4118884" y="633407"/>
            <a:ext cx="1196163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BD043FEF-55CE-4864-AED4-B0A6E1416D39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Suivi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7" name="Rechteck: obere Ecken abgerundet 21">
            <a:extLst>
              <a:ext uri="{FF2B5EF4-FFF2-40B4-BE49-F238E27FC236}">
                <a16:creationId xmlns:a16="http://schemas.microsoft.com/office/drawing/2014/main" id="{00000000-0008-0000-1A00-00001B000000}"/>
              </a:ext>
            </a:extLst>
          </xdr:cNvPr>
          <xdr:cNvSpPr/>
        </xdr:nvSpPr>
        <xdr:spPr>
          <a:xfrm>
            <a:off x="5356755" y="633407"/>
            <a:ext cx="1196163" cy="323851"/>
          </a:xfrm>
          <a:prstGeom prst="round2Same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Budget</a:t>
            </a:r>
          </a:p>
        </xdr:txBody>
      </xdr:sp>
    </xdr:grpSp>
    <xdr:clientData fPrintsWithSheet="0"/>
  </xdr:twoCellAnchor>
  <xdr:twoCellAnchor editAs="oneCell">
    <xdr:from>
      <xdr:col>45</xdr:col>
      <xdr:colOff>50800</xdr:colOff>
      <xdr:row>4</xdr:row>
      <xdr:rowOff>43542</xdr:rowOff>
    </xdr:from>
    <xdr:to>
      <xdr:col>47</xdr:col>
      <xdr:colOff>63600</xdr:colOff>
      <xdr:row>4</xdr:row>
      <xdr:rowOff>259542</xdr:rowOff>
    </xdr:to>
    <xdr:pic>
      <xdr:nvPicPr>
        <xdr:cNvPr id="5" name="Grafik 4">
          <a:hlinkClick xmlns:r="http://schemas.openxmlformats.org/officeDocument/2006/relationships" r:id="rId15" tooltip="Options"/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5886" y="1164771"/>
          <a:ext cx="216000" cy="2160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152399</xdr:rowOff>
    </xdr:from>
    <xdr:to>
      <xdr:col>4</xdr:col>
      <xdr:colOff>38100</xdr:colOff>
      <xdr:row>11</xdr:row>
      <xdr:rowOff>114300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/>
      </xdr:nvSpPr>
      <xdr:spPr>
        <a:xfrm>
          <a:off x="571500" y="1000124"/>
          <a:ext cx="6353175" cy="1857376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oneCell">
    <xdr:from>
      <xdr:col>0</xdr:col>
      <xdr:colOff>66675</xdr:colOff>
      <xdr:row>0</xdr:row>
      <xdr:rowOff>123825</xdr:rowOff>
    </xdr:from>
    <xdr:to>
      <xdr:col>0</xdr:col>
      <xdr:colOff>390675</xdr:colOff>
      <xdr:row>0</xdr:row>
      <xdr:rowOff>449290</xdr:rowOff>
    </xdr:to>
    <xdr:grpSp>
      <xdr:nvGrpSpPr>
        <xdr:cNvPr id="16" name="Gruppieren 15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1B00-000010000000}"/>
            </a:ext>
          </a:extLst>
        </xdr:cNvPr>
        <xdr:cNvGrpSpPr/>
      </xdr:nvGrpSpPr>
      <xdr:grpSpPr>
        <a:xfrm>
          <a:off x="66675" y="123825"/>
          <a:ext cx="324000" cy="325465"/>
          <a:chOff x="12729063" y="1298331"/>
          <a:chExt cx="324000" cy="323267"/>
        </a:xfrm>
      </xdr:grpSpPr>
      <xdr:sp macro="" textlink="">
        <xdr:nvSpPr>
          <xdr:cNvPr id="19" name="Rechteck 18">
            <a:extLst>
              <a:ext uri="{FF2B5EF4-FFF2-40B4-BE49-F238E27FC236}">
                <a16:creationId xmlns:a16="http://schemas.microsoft.com/office/drawing/2014/main" id="{00000000-0008-0000-1B00-00001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0" name="Grafik 19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B00-00001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3790950</xdr:colOff>
          <xdr:row>0</xdr:row>
          <xdr:rowOff>28575</xdr:rowOff>
        </xdr:from>
        <xdr:to>
          <xdr:col>3</xdr:col>
          <xdr:colOff>5962650</xdr:colOff>
          <xdr:row>0</xdr:row>
          <xdr:rowOff>561975</xdr:rowOff>
        </xdr:to>
        <xdr:pic>
          <xdr:nvPicPr>
            <xdr:cNvPr id="12" name="Grafik 11">
              <a:extLst>
                <a:ext uri="{FF2B5EF4-FFF2-40B4-BE49-F238E27FC236}">
                  <a16:creationId xmlns:a16="http://schemas.microsoft.com/office/drawing/2014/main" id="{00000000-0008-0000-1B00-00000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13244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4733925" y="28575"/>
              <a:ext cx="217170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</xdr:row>
      <xdr:rowOff>114300</xdr:rowOff>
    </xdr:from>
    <xdr:to>
      <xdr:col>4</xdr:col>
      <xdr:colOff>38100</xdr:colOff>
      <xdr:row>13</xdr:row>
      <xdr:rowOff>114300</xdr:rowOff>
    </xdr:to>
    <xdr:sp macro="" textlink="">
      <xdr:nvSpPr>
        <xdr:cNvPr id="22" name="Rechteck 21">
          <a:extLst>
            <a:ext uri="{FF2B5EF4-FFF2-40B4-BE49-F238E27FC236}">
              <a16:creationId xmlns:a16="http://schemas.microsoft.com/office/drawing/2014/main" id="{00000000-0008-0000-1C00-000016000000}"/>
            </a:ext>
          </a:extLst>
        </xdr:cNvPr>
        <xdr:cNvSpPr/>
      </xdr:nvSpPr>
      <xdr:spPr>
        <a:xfrm>
          <a:off x="657225" y="962025"/>
          <a:ext cx="7143750" cy="2276475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oneCell">
    <xdr:from>
      <xdr:col>0</xdr:col>
      <xdr:colOff>66675</xdr:colOff>
      <xdr:row>0</xdr:row>
      <xdr:rowOff>161925</xdr:rowOff>
    </xdr:from>
    <xdr:to>
      <xdr:col>0</xdr:col>
      <xdr:colOff>390675</xdr:colOff>
      <xdr:row>0</xdr:row>
      <xdr:rowOff>487390</xdr:rowOff>
    </xdr:to>
    <xdr:grpSp>
      <xdr:nvGrpSpPr>
        <xdr:cNvPr id="18" name="Gruppieren 17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1C00-000012000000}"/>
            </a:ext>
          </a:extLst>
        </xdr:cNvPr>
        <xdr:cNvGrpSpPr/>
      </xdr:nvGrpSpPr>
      <xdr:grpSpPr>
        <a:xfrm>
          <a:off x="66675" y="161925"/>
          <a:ext cx="324000" cy="325465"/>
          <a:chOff x="12729063" y="1298331"/>
          <a:chExt cx="324000" cy="323267"/>
        </a:xfrm>
      </xdr:grpSpPr>
      <xdr:sp macro="" textlink="">
        <xdr:nvSpPr>
          <xdr:cNvPr id="19" name="Rechteck 18">
            <a:extLst>
              <a:ext uri="{FF2B5EF4-FFF2-40B4-BE49-F238E27FC236}">
                <a16:creationId xmlns:a16="http://schemas.microsoft.com/office/drawing/2014/main" id="{00000000-0008-0000-1C00-00001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0" name="Grafik 19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C00-00001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3762375</xdr:colOff>
          <xdr:row>0</xdr:row>
          <xdr:rowOff>19050</xdr:rowOff>
        </xdr:from>
        <xdr:to>
          <xdr:col>3</xdr:col>
          <xdr:colOff>5934075</xdr:colOff>
          <xdr:row>0</xdr:row>
          <xdr:rowOff>552450</xdr:rowOff>
        </xdr:to>
        <xdr:pic>
          <xdr:nvPicPr>
            <xdr:cNvPr id="11" name="Grafik 10">
              <a:extLst>
                <a:ext uri="{FF2B5EF4-FFF2-40B4-BE49-F238E27FC236}">
                  <a16:creationId xmlns:a16="http://schemas.microsoft.com/office/drawing/2014/main" id="{00000000-0008-0000-1C00-00000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14268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4705350" y="19050"/>
              <a:ext cx="217170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171450</xdr:rowOff>
    </xdr:from>
    <xdr:to>
      <xdr:col>0</xdr:col>
      <xdr:colOff>400200</xdr:colOff>
      <xdr:row>0</xdr:row>
      <xdr:rowOff>496915</xdr:rowOff>
    </xdr:to>
    <xdr:grpSp>
      <xdr:nvGrpSpPr>
        <xdr:cNvPr id="19" name="Gruppieren 18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1D00-000013000000}"/>
            </a:ext>
          </a:extLst>
        </xdr:cNvPr>
        <xdr:cNvGrpSpPr/>
      </xdr:nvGrpSpPr>
      <xdr:grpSpPr>
        <a:xfrm>
          <a:off x="76200" y="171450"/>
          <a:ext cx="324000" cy="325465"/>
          <a:chOff x="12729063" y="1298331"/>
          <a:chExt cx="324000" cy="323267"/>
        </a:xfrm>
      </xdr:grpSpPr>
      <xdr:sp macro="" textlink="">
        <xdr:nvSpPr>
          <xdr:cNvPr id="20" name="Rechteck 19">
            <a:extLst>
              <a:ext uri="{FF2B5EF4-FFF2-40B4-BE49-F238E27FC236}">
                <a16:creationId xmlns:a16="http://schemas.microsoft.com/office/drawing/2014/main" id="{00000000-0008-0000-1D00-000014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1" name="Grafik 20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D00-00001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2590800</xdr:colOff>
          <xdr:row>0</xdr:row>
          <xdr:rowOff>0</xdr:rowOff>
        </xdr:from>
        <xdr:to>
          <xdr:col>10</xdr:col>
          <xdr:colOff>6350</xdr:colOff>
          <xdr:row>0</xdr:row>
          <xdr:rowOff>533400</xdr:rowOff>
        </xdr:to>
        <xdr:pic>
          <xdr:nvPicPr>
            <xdr:cNvPr id="14" name="Grafik 13">
              <a:extLst>
                <a:ext uri="{FF2B5EF4-FFF2-40B4-BE49-F238E27FC236}">
                  <a16:creationId xmlns:a16="http://schemas.microsoft.com/office/drawing/2014/main" id="{00000000-0008-0000-1D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26040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9956800" y="0"/>
              <a:ext cx="261620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9</xdr:col>
      <xdr:colOff>3908452</xdr:colOff>
      <xdr:row>2</xdr:row>
      <xdr:rowOff>34925</xdr:rowOff>
    </xdr:from>
    <xdr:to>
      <xdr:col>9</xdr:col>
      <xdr:colOff>4608592</xdr:colOff>
      <xdr:row>2</xdr:row>
      <xdr:rowOff>219688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pSpPr/>
      </xdr:nvGrpSpPr>
      <xdr:grpSpPr>
        <a:xfrm>
          <a:off x="11749432" y="614045"/>
          <a:ext cx="700140" cy="184763"/>
          <a:chOff x="11603938" y="615950"/>
          <a:chExt cx="646003" cy="184763"/>
        </a:xfrm>
      </xdr:grpSpPr>
      <xdr:sp macro="[0]!Register_ein" textlink="">
        <xdr:nvSpPr>
          <xdr:cNvPr id="18" name="Rechteck 78">
            <a:extLst>
              <a:ext uri="{FF2B5EF4-FFF2-40B4-BE49-F238E27FC236}">
                <a16:creationId xmlns:a16="http://schemas.microsoft.com/office/drawing/2014/main" id="{00000000-0008-0000-1D00-000012000000}"/>
              </a:ext>
            </a:extLst>
          </xdr:cNvPr>
          <xdr:cNvSpPr>
            <a:spLocks/>
          </xdr:cNvSpPr>
        </xdr:nvSpPr>
        <xdr:spPr>
          <a:xfrm>
            <a:off x="11603938" y="620713"/>
            <a:ext cx="166082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6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+</a:t>
            </a:r>
          </a:p>
        </xdr:txBody>
      </xdr:sp>
      <xdr:sp macro="[0]!Register_aus" textlink="">
        <xdr:nvSpPr>
          <xdr:cNvPr id="22" name="Rechteck 84">
            <a:extLst>
              <a:ext uri="{FF2B5EF4-FFF2-40B4-BE49-F238E27FC236}">
                <a16:creationId xmlns:a16="http://schemas.microsoft.com/office/drawing/2014/main" id="{00000000-0008-0000-1D00-000016000000}"/>
              </a:ext>
            </a:extLst>
          </xdr:cNvPr>
          <xdr:cNvSpPr>
            <a:spLocks/>
          </xdr:cNvSpPr>
        </xdr:nvSpPr>
        <xdr:spPr>
          <a:xfrm>
            <a:off x="11815788" y="620713"/>
            <a:ext cx="18000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de-CH" sz="18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-</a:t>
            </a:r>
          </a:p>
        </xdr:txBody>
      </xdr:sp>
      <xdr:grpSp>
        <xdr:nvGrpSpPr>
          <xdr:cNvPr id="23" name="Gruppieren 47">
            <a:hlinkClick xmlns:r="http://schemas.openxmlformats.org/officeDocument/2006/relationships" r:id="rId4" tooltip="Help"/>
            <a:extLst>
              <a:ext uri="{FF2B5EF4-FFF2-40B4-BE49-F238E27FC236}">
                <a16:creationId xmlns:a16="http://schemas.microsoft.com/office/drawing/2014/main" id="{00000000-0008-0000-1D00-000017000000}"/>
              </a:ext>
            </a:extLst>
          </xdr:cNvPr>
          <xdr:cNvGrpSpPr>
            <a:grpSpLocks/>
          </xdr:cNvGrpSpPr>
        </xdr:nvGrpSpPr>
        <xdr:grpSpPr>
          <a:xfrm>
            <a:off x="12069941" y="615950"/>
            <a:ext cx="180000" cy="180000"/>
            <a:chOff x="8105775" y="571500"/>
            <a:chExt cx="172800" cy="172800"/>
          </a:xfrm>
        </xdr:grpSpPr>
        <xdr:sp macro="" textlink="">
          <xdr:nvSpPr>
            <xdr:cNvPr id="24" name="Rechteck 48">
              <a:extLst>
                <a:ext uri="{FF2B5EF4-FFF2-40B4-BE49-F238E27FC236}">
                  <a16:creationId xmlns:a16="http://schemas.microsoft.com/office/drawing/2014/main" id="{00000000-0008-0000-1D00-000018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25" name="Textfeld 49">
              <a:extLst>
                <a:ext uri="{FF2B5EF4-FFF2-40B4-BE49-F238E27FC236}">
                  <a16:creationId xmlns:a16="http://schemas.microsoft.com/office/drawing/2014/main" id="{00000000-0008-0000-1D00-000019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</xdr:grpSp>
    <xdr:clientData fPrintsWithSheet="0"/>
  </xdr:twoCellAnchor>
  <xdr:twoCellAnchor editAs="oneCell">
    <xdr:from>
      <xdr:col>9</xdr:col>
      <xdr:colOff>2720340</xdr:colOff>
      <xdr:row>0</xdr:row>
      <xdr:rowOff>123825</xdr:rowOff>
    </xdr:from>
    <xdr:to>
      <xdr:col>9</xdr:col>
      <xdr:colOff>3044340</xdr:colOff>
      <xdr:row>0</xdr:row>
      <xdr:rowOff>447825</xdr:rowOff>
    </xdr:to>
    <xdr:sp macro="" textlink="">
      <xdr:nvSpPr>
        <xdr:cNvPr id="15" name="Rechteck 14">
          <a:hlinkClick xmlns:r="http://schemas.openxmlformats.org/officeDocument/2006/relationships" r:id="rId5" tooltip="Download new file"/>
          <a:extLst>
            <a:ext uri="{FF2B5EF4-FFF2-40B4-BE49-F238E27FC236}">
              <a16:creationId xmlns:a16="http://schemas.microsoft.com/office/drawing/2014/main" id="{00000000-0008-0000-1D00-00000F000000}"/>
            </a:ext>
          </a:extLst>
        </xdr:cNvPr>
        <xdr:cNvSpPr>
          <a:spLocks/>
        </xdr:cNvSpPr>
      </xdr:nvSpPr>
      <xdr:spPr>
        <a:xfrm>
          <a:off x="10561320" y="123825"/>
          <a:ext cx="324000" cy="32400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3600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20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  <a:sym typeface="Wingdings 2" panose="05020102010507070707" pitchFamily="18" charset="2"/>
            </a:rPr>
            <a:t></a:t>
          </a:r>
          <a:endParaRPr kumimoji="0" lang="de-CH" sz="2000" b="0" i="0" u="none" strike="noStrike" kern="0" cap="none" spc="0" normalizeH="0" baseline="0">
            <a:ln>
              <a:noFill/>
            </a:ln>
            <a:solidFill>
              <a:prstClr val="white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60959</xdr:colOff>
      <xdr:row>2</xdr:row>
      <xdr:rowOff>167640</xdr:rowOff>
    </xdr:from>
    <xdr:to>
      <xdr:col>0</xdr:col>
      <xdr:colOff>442250</xdr:colOff>
      <xdr:row>4</xdr:row>
      <xdr:rowOff>22860</xdr:rowOff>
    </xdr:to>
    <xdr:grpSp>
      <xdr:nvGrpSpPr>
        <xdr:cNvPr id="3" name="Gruppieren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GrpSpPr/>
      </xdr:nvGrpSpPr>
      <xdr:grpSpPr>
        <a:xfrm>
          <a:off x="60959" y="746760"/>
          <a:ext cx="381291" cy="388620"/>
          <a:chOff x="11831953" y="2994660"/>
          <a:chExt cx="2463168" cy="2510515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1D00-000004000000}"/>
              </a:ext>
            </a:extLst>
          </xdr:cNvPr>
          <xdr:cNvSpPr>
            <a:spLocks noChangeAspect="1"/>
          </xdr:cNvSpPr>
        </xdr:nvSpPr>
        <xdr:spPr>
          <a:xfrm>
            <a:off x="11831953" y="3046106"/>
            <a:ext cx="2448000" cy="2459069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5" name="Grafik 4" descr="人类logo模板图片素材 人类logo模板设计素材 人类logo模板摄影作品 人类logo模板源文件下载 人类logo模板图片素材下载 人类 ...">
            <a:extLst>
              <a:ext uri="{FF2B5EF4-FFF2-40B4-BE49-F238E27FC236}">
                <a16:creationId xmlns:a16="http://schemas.microsoft.com/office/drawing/2014/main" id="{00000000-0008-0000-1D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79579" y="2994660"/>
            <a:ext cx="2415542" cy="241554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163830</xdr:rowOff>
    </xdr:from>
    <xdr:to>
      <xdr:col>0</xdr:col>
      <xdr:colOff>392580</xdr:colOff>
      <xdr:row>0</xdr:row>
      <xdr:rowOff>489295</xdr:rowOff>
    </xdr:to>
    <xdr:grpSp>
      <xdr:nvGrpSpPr>
        <xdr:cNvPr id="2" name="Gruppieren 18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pSpPr/>
      </xdr:nvGrpSpPr>
      <xdr:grpSpPr>
        <a:xfrm>
          <a:off x="68580" y="163830"/>
          <a:ext cx="324000" cy="325465"/>
          <a:chOff x="12729063" y="1298331"/>
          <a:chExt cx="324000" cy="323267"/>
        </a:xfrm>
      </xdr:grpSpPr>
      <xdr:sp macro="" textlink="">
        <xdr:nvSpPr>
          <xdr:cNvPr id="3" name="Rechteck 19">
            <a:extLst>
              <a:ext uri="{FF2B5EF4-FFF2-40B4-BE49-F238E27FC236}">
                <a16:creationId xmlns:a16="http://schemas.microsoft.com/office/drawing/2014/main" id="{00000000-0008-0000-1E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20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E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3197225</xdr:colOff>
          <xdr:row>0</xdr:row>
          <xdr:rowOff>0</xdr:rowOff>
        </xdr:from>
        <xdr:to>
          <xdr:col>6</xdr:col>
          <xdr:colOff>6350</xdr:colOff>
          <xdr:row>0</xdr:row>
          <xdr:rowOff>533400</xdr:rowOff>
        </xdr:to>
        <xdr:pic>
          <xdr:nvPicPr>
            <xdr:cNvPr id="11" name="Grafik 10">
              <a:extLst>
                <a:ext uri="{FF2B5EF4-FFF2-40B4-BE49-F238E27FC236}">
                  <a16:creationId xmlns:a16="http://schemas.microsoft.com/office/drawing/2014/main" id="{00000000-0008-0000-1E00-00000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16319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4740275" y="0"/>
              <a:ext cx="216217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5</xdr:col>
      <xdr:colOff>144467</xdr:colOff>
      <xdr:row>2</xdr:row>
      <xdr:rowOff>19051</xdr:rowOff>
    </xdr:from>
    <xdr:to>
      <xdr:col>5</xdr:col>
      <xdr:colOff>308592</xdr:colOff>
      <xdr:row>2</xdr:row>
      <xdr:rowOff>199051</xdr:rowOff>
    </xdr:to>
    <xdr:grpSp>
      <xdr:nvGrpSpPr>
        <xdr:cNvPr id="12" name="Gruppieren 47">
          <a:hlinkClick xmlns:r="http://schemas.openxmlformats.org/officeDocument/2006/relationships" r:id="rId4" tooltip="Help"/>
          <a:extLst>
            <a:ext uri="{FF2B5EF4-FFF2-40B4-BE49-F238E27FC236}">
              <a16:creationId xmlns:a16="http://schemas.microsoft.com/office/drawing/2014/main" id="{00000000-0008-0000-1E00-00000C000000}"/>
            </a:ext>
          </a:extLst>
        </xdr:cNvPr>
        <xdr:cNvGrpSpPr>
          <a:grpSpLocks noChangeAspect="1"/>
        </xdr:cNvGrpSpPr>
      </xdr:nvGrpSpPr>
      <xdr:grpSpPr>
        <a:xfrm>
          <a:off x="6880547" y="582931"/>
          <a:ext cx="164125" cy="180000"/>
          <a:chOff x="8105775" y="571500"/>
          <a:chExt cx="172800" cy="172800"/>
        </a:xfrm>
      </xdr:grpSpPr>
      <xdr:sp macro="" textlink="">
        <xdr:nvSpPr>
          <xdr:cNvPr id="13" name="Rechteck 48">
            <a:extLst>
              <a:ext uri="{FF2B5EF4-FFF2-40B4-BE49-F238E27FC236}">
                <a16:creationId xmlns:a16="http://schemas.microsoft.com/office/drawing/2014/main" id="{00000000-0008-0000-1E00-00000D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Textfeld 49">
            <a:extLst>
              <a:ext uri="{FF2B5EF4-FFF2-40B4-BE49-F238E27FC236}">
                <a16:creationId xmlns:a16="http://schemas.microsoft.com/office/drawing/2014/main" id="{00000000-0008-0000-1E00-00000E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135880</xdr:colOff>
      <xdr:row>3</xdr:row>
      <xdr:rowOff>251163</xdr:rowOff>
    </xdr:from>
    <xdr:to>
      <xdr:col>0</xdr:col>
      <xdr:colOff>315880</xdr:colOff>
      <xdr:row>4</xdr:row>
      <xdr:rowOff>75273</xdr:rowOff>
    </xdr:to>
    <xdr:grpSp>
      <xdr:nvGrpSpPr>
        <xdr:cNvPr id="20" name="Gruppieren 19">
          <a:extLst>
            <a:ext uri="{FF2B5EF4-FFF2-40B4-BE49-F238E27FC236}">
              <a16:creationId xmlns:a16="http://schemas.microsoft.com/office/drawing/2014/main" id="{00000000-0008-0000-1E00-000014000000}"/>
            </a:ext>
          </a:extLst>
        </xdr:cNvPr>
        <xdr:cNvGrpSpPr>
          <a:grpSpLocks noChangeAspect="1"/>
        </xdr:cNvGrpSpPr>
      </xdr:nvGrpSpPr>
      <xdr:grpSpPr>
        <a:xfrm>
          <a:off x="135880" y="1081743"/>
          <a:ext cx="180000" cy="167010"/>
          <a:chOff x="133117" y="2061350"/>
          <a:chExt cx="179190" cy="180000"/>
        </a:xfrm>
      </xdr:grpSpPr>
      <xdr:sp macro="[0]!ans_EndeNotizen" textlink="">
        <xdr:nvSpPr>
          <xdr:cNvPr id="25" name="Rechteck 24">
            <a:extLst>
              <a:ext uri="{FF2B5EF4-FFF2-40B4-BE49-F238E27FC236}">
                <a16:creationId xmlns:a16="http://schemas.microsoft.com/office/drawing/2014/main" id="{00000000-0008-0000-1E00-000019000000}"/>
              </a:ext>
            </a:extLst>
          </xdr:cNvPr>
          <xdr:cNvSpPr>
            <a:spLocks noChangeAspect="1"/>
          </xdr:cNvSpPr>
        </xdr:nvSpPr>
        <xdr:spPr>
          <a:xfrm>
            <a:off x="133117" y="2061350"/>
            <a:ext cx="179190" cy="180000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[0]!ans_EndeNotizen" textlink="">
        <xdr:nvSpPr>
          <xdr:cNvPr id="26" name="Pfeil nach rechts 25">
            <a:extLst>
              <a:ext uri="{FF2B5EF4-FFF2-40B4-BE49-F238E27FC236}">
                <a16:creationId xmlns:a16="http://schemas.microsoft.com/office/drawing/2014/main" id="{00000000-0008-0000-1E00-00001A000000}"/>
              </a:ext>
            </a:extLst>
          </xdr:cNvPr>
          <xdr:cNvSpPr/>
        </xdr:nvSpPr>
        <xdr:spPr>
          <a:xfrm rot="16200000" flipH="1">
            <a:off x="184484" y="2101575"/>
            <a:ext cx="89595" cy="9955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 editAs="oneCell">
    <xdr:from>
      <xdr:col>0</xdr:col>
      <xdr:colOff>135880</xdr:colOff>
      <xdr:row>3</xdr:row>
      <xdr:rowOff>19050</xdr:rowOff>
    </xdr:from>
    <xdr:to>
      <xdr:col>0</xdr:col>
      <xdr:colOff>315880</xdr:colOff>
      <xdr:row>3</xdr:row>
      <xdr:rowOff>199050</xdr:rowOff>
    </xdr:to>
    <xdr:grpSp>
      <xdr:nvGrpSpPr>
        <xdr:cNvPr id="21" name="Gruppieren 2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E00-000015000000}"/>
            </a:ext>
          </a:extLst>
        </xdr:cNvPr>
        <xdr:cNvGrpSpPr>
          <a:grpSpLocks/>
        </xdr:cNvGrpSpPr>
      </xdr:nvGrpSpPr>
      <xdr:grpSpPr>
        <a:xfrm>
          <a:off x="135880" y="849630"/>
          <a:ext cx="180000" cy="180000"/>
          <a:chOff x="139686" y="1856591"/>
          <a:chExt cx="179190" cy="177044"/>
        </a:xfrm>
      </xdr:grpSpPr>
      <xdr:sp macro="" textlink="">
        <xdr:nvSpPr>
          <xdr:cNvPr id="23" name="Rechteck 22">
            <a:extLst>
              <a:ext uri="{FF2B5EF4-FFF2-40B4-BE49-F238E27FC236}">
                <a16:creationId xmlns:a16="http://schemas.microsoft.com/office/drawing/2014/main" id="{00000000-0008-0000-1E00-000017000000}"/>
              </a:ext>
            </a:extLst>
          </xdr:cNvPr>
          <xdr:cNvSpPr>
            <a:spLocks noChangeAspect="1"/>
          </xdr:cNvSpPr>
        </xdr:nvSpPr>
        <xdr:spPr>
          <a:xfrm>
            <a:off x="139686" y="1856591"/>
            <a:ext cx="179190" cy="177044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" name="Pfeil nach rechts 23">
            <a:extLst>
              <a:ext uri="{FF2B5EF4-FFF2-40B4-BE49-F238E27FC236}">
                <a16:creationId xmlns:a16="http://schemas.microsoft.com/office/drawing/2014/main" id="{00000000-0008-0000-1E00-000018000000}"/>
              </a:ext>
            </a:extLst>
          </xdr:cNvPr>
          <xdr:cNvSpPr/>
        </xdr:nvSpPr>
        <xdr:spPr>
          <a:xfrm rot="5400000" flipH="1" flipV="1">
            <a:off x="189550" y="1895338"/>
            <a:ext cx="88124" cy="9955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1533525</xdr:colOff>
          <xdr:row>0</xdr:row>
          <xdr:rowOff>19050</xdr:rowOff>
        </xdr:from>
        <xdr:to>
          <xdr:col>16</xdr:col>
          <xdr:colOff>295274</xdr:colOff>
          <xdr:row>0</xdr:row>
          <xdr:rowOff>552450</xdr:rowOff>
        </xdr:to>
        <xdr:pic>
          <xdr:nvPicPr>
            <xdr:cNvPr id="30" name="Grafik 29">
              <a:extLst>
                <a:ext uri="{FF2B5EF4-FFF2-40B4-BE49-F238E27FC236}">
                  <a16:creationId xmlns:a16="http://schemas.microsoft.com/office/drawing/2014/main" id="{00000000-0008-0000-2000-00001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2399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324850" y="19050"/>
              <a:ext cx="217170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16</xdr:col>
      <xdr:colOff>38100</xdr:colOff>
      <xdr:row>2</xdr:row>
      <xdr:rowOff>61912</xdr:rowOff>
    </xdr:from>
    <xdr:to>
      <xdr:col>16</xdr:col>
      <xdr:colOff>218100</xdr:colOff>
      <xdr:row>3</xdr:row>
      <xdr:rowOff>51412</xdr:rowOff>
    </xdr:to>
    <xdr:grpSp>
      <xdr:nvGrpSpPr>
        <xdr:cNvPr id="38" name="Gruppieren 47">
          <a:hlinkClick xmlns:r="http://schemas.openxmlformats.org/officeDocument/2006/relationships" r:id="rId2" tooltip="Help"/>
          <a:extLst>
            <a:ext uri="{FF2B5EF4-FFF2-40B4-BE49-F238E27FC236}">
              <a16:creationId xmlns:a16="http://schemas.microsoft.com/office/drawing/2014/main" id="{00000000-0008-0000-2000-000026000000}"/>
            </a:ext>
          </a:extLst>
        </xdr:cNvPr>
        <xdr:cNvGrpSpPr>
          <a:grpSpLocks noChangeAspect="1"/>
        </xdr:cNvGrpSpPr>
      </xdr:nvGrpSpPr>
      <xdr:grpSpPr>
        <a:xfrm>
          <a:off x="10370820" y="633412"/>
          <a:ext cx="180000" cy="180000"/>
          <a:chOff x="8105775" y="571500"/>
          <a:chExt cx="172800" cy="172800"/>
        </a:xfrm>
      </xdr:grpSpPr>
      <xdr:sp macro="" textlink="">
        <xdr:nvSpPr>
          <xdr:cNvPr id="39" name="Rechteck 48">
            <a:extLst>
              <a:ext uri="{FF2B5EF4-FFF2-40B4-BE49-F238E27FC236}">
                <a16:creationId xmlns:a16="http://schemas.microsoft.com/office/drawing/2014/main" id="{00000000-0008-0000-2000-000027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0" name="Textfeld 49">
            <a:extLst>
              <a:ext uri="{FF2B5EF4-FFF2-40B4-BE49-F238E27FC236}">
                <a16:creationId xmlns:a16="http://schemas.microsoft.com/office/drawing/2014/main" id="{00000000-0008-0000-2000-000028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>
    <xdr:from>
      <xdr:col>2</xdr:col>
      <xdr:colOff>2976671</xdr:colOff>
      <xdr:row>0</xdr:row>
      <xdr:rowOff>209550</xdr:rowOff>
    </xdr:from>
    <xdr:to>
      <xdr:col>15</xdr:col>
      <xdr:colOff>487171</xdr:colOff>
      <xdr:row>0</xdr:row>
      <xdr:rowOff>533401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pSpPr/>
      </xdr:nvGrpSpPr>
      <xdr:grpSpPr>
        <a:xfrm>
          <a:off x="3731051" y="209550"/>
          <a:ext cx="3583640" cy="323851"/>
          <a:chOff x="3710096" y="209550"/>
          <a:chExt cx="3406475" cy="323851"/>
        </a:xfrm>
      </xdr:grpSpPr>
      <xdr:sp macro="" textlink="' '!A43">
        <xdr:nvSpPr>
          <xdr:cNvPr id="12" name="Rechteck: obere Ecken abgerundet 14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2000-00000C000000}"/>
              </a:ext>
            </a:extLst>
          </xdr:cNvPr>
          <xdr:cNvSpPr/>
        </xdr:nvSpPr>
        <xdr:spPr>
          <a:xfrm>
            <a:off x="3710096" y="209550"/>
            <a:ext cx="111073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DE877149-E1BE-465B-AA32-D68FC0D8DB83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Mandat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8">
        <xdr:nvSpPr>
          <xdr:cNvPr id="13" name="Rechteck: obere Ecken abgerundet 15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2000-00000D000000}"/>
              </a:ext>
            </a:extLst>
          </xdr:cNvPr>
          <xdr:cNvSpPr/>
        </xdr:nvSpPr>
        <xdr:spPr>
          <a:xfrm>
            <a:off x="4857968" y="209550"/>
            <a:ext cx="111073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81A13CF6-D2EE-4DE8-A314-CAF229F5B169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Planification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45">
        <xdr:nvSpPr>
          <xdr:cNvPr id="14" name="Rechteck: obere Ecken abgerundet 21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00000000-0008-0000-2000-00000E000000}"/>
              </a:ext>
            </a:extLst>
          </xdr:cNvPr>
          <xdr:cNvSpPr/>
        </xdr:nvSpPr>
        <xdr:spPr>
          <a:xfrm>
            <a:off x="6005839" y="209550"/>
            <a:ext cx="111073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C0E70D35-6F14-47D9-B269-55C3EDE34E60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Suivi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 editAs="absolute">
    <xdr:from>
      <xdr:col>15</xdr:col>
      <xdr:colOff>2987040</xdr:colOff>
      <xdr:row>2</xdr:row>
      <xdr:rowOff>53340</xdr:rowOff>
    </xdr:from>
    <xdr:to>
      <xdr:col>15</xdr:col>
      <xdr:colOff>3176707</xdr:colOff>
      <xdr:row>3</xdr:row>
      <xdr:rowOff>42840</xdr:rowOff>
    </xdr:to>
    <xdr:sp macro="[0]!Register_ein" textlink="">
      <xdr:nvSpPr>
        <xdr:cNvPr id="15" name="Rechteck 78">
          <a:extLst>
            <a:ext uri="{FF2B5EF4-FFF2-40B4-BE49-F238E27FC236}">
              <a16:creationId xmlns:a16="http://schemas.microsoft.com/office/drawing/2014/main" id="{00000000-0008-0000-2000-00000F000000}"/>
            </a:ext>
          </a:extLst>
        </xdr:cNvPr>
        <xdr:cNvSpPr>
          <a:spLocks noChangeAspect="1"/>
        </xdr:cNvSpPr>
      </xdr:nvSpPr>
      <xdr:spPr>
        <a:xfrm>
          <a:off x="9753600" y="624840"/>
          <a:ext cx="189667" cy="18000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6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+</a:t>
          </a:r>
        </a:p>
      </xdr:txBody>
    </xdr:sp>
    <xdr:clientData fPrintsWithSheet="0"/>
  </xdr:twoCellAnchor>
  <xdr:twoCellAnchor editAs="absolute">
    <xdr:from>
      <xdr:col>15</xdr:col>
      <xdr:colOff>3216592</xdr:colOff>
      <xdr:row>2</xdr:row>
      <xdr:rowOff>53340</xdr:rowOff>
    </xdr:from>
    <xdr:to>
      <xdr:col>15</xdr:col>
      <xdr:colOff>3396592</xdr:colOff>
      <xdr:row>3</xdr:row>
      <xdr:rowOff>42840</xdr:rowOff>
    </xdr:to>
    <xdr:sp macro="[0]!Register_aus" textlink="">
      <xdr:nvSpPr>
        <xdr:cNvPr id="16" name="Rechteck 84">
          <a:extLst>
            <a:ext uri="{FF2B5EF4-FFF2-40B4-BE49-F238E27FC236}">
              <a16:creationId xmlns:a16="http://schemas.microsoft.com/office/drawing/2014/main" id="{00000000-0008-0000-2000-000010000000}"/>
            </a:ext>
          </a:extLst>
        </xdr:cNvPr>
        <xdr:cNvSpPr>
          <a:spLocks/>
        </xdr:cNvSpPr>
      </xdr:nvSpPr>
      <xdr:spPr>
        <a:xfrm>
          <a:off x="9983152" y="624840"/>
          <a:ext cx="180000" cy="18000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-</a:t>
          </a:r>
        </a:p>
      </xdr:txBody>
    </xdr:sp>
    <xdr:clientData fPrintsWithSheet="0"/>
  </xdr:twoCellAnchor>
  <xdr:twoCellAnchor editAs="oneCell">
    <xdr:from>
      <xdr:col>0</xdr:col>
      <xdr:colOff>66675</xdr:colOff>
      <xdr:row>0</xdr:row>
      <xdr:rowOff>200025</xdr:rowOff>
    </xdr:from>
    <xdr:to>
      <xdr:col>0</xdr:col>
      <xdr:colOff>390675</xdr:colOff>
      <xdr:row>0</xdr:row>
      <xdr:rowOff>525490</xdr:rowOff>
    </xdr:to>
    <xdr:grpSp>
      <xdr:nvGrpSpPr>
        <xdr:cNvPr id="20" name="Gruppieren 53">
          <a:hlinkClick xmlns:r="http://schemas.openxmlformats.org/officeDocument/2006/relationships" r:id="rId6" tooltip="back"/>
          <a:extLst>
            <a:ext uri="{FF2B5EF4-FFF2-40B4-BE49-F238E27FC236}">
              <a16:creationId xmlns:a16="http://schemas.microsoft.com/office/drawing/2014/main" id="{00000000-0008-0000-2000-000014000000}"/>
            </a:ext>
          </a:extLst>
        </xdr:cNvPr>
        <xdr:cNvGrpSpPr/>
      </xdr:nvGrpSpPr>
      <xdr:grpSpPr>
        <a:xfrm>
          <a:off x="66675" y="200025"/>
          <a:ext cx="324000" cy="325465"/>
          <a:chOff x="9191625" y="3009900"/>
          <a:chExt cx="324000" cy="325465"/>
        </a:xfrm>
      </xdr:grpSpPr>
      <xdr:sp macro="" textlink="">
        <xdr:nvSpPr>
          <xdr:cNvPr id="21" name="Rechteck 57">
            <a:extLst>
              <a:ext uri="{FF2B5EF4-FFF2-40B4-BE49-F238E27FC236}">
                <a16:creationId xmlns:a16="http://schemas.microsoft.com/office/drawing/2014/main" id="{00000000-0008-0000-2000-00001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" name="Pfeil nach links 58">
            <a:extLst>
              <a:ext uri="{FF2B5EF4-FFF2-40B4-BE49-F238E27FC236}">
                <a16:creationId xmlns:a16="http://schemas.microsoft.com/office/drawing/2014/main" id="{00000000-0008-0000-2000-00001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154354</xdr:colOff>
      <xdr:row>39</xdr:row>
      <xdr:rowOff>142457</xdr:rowOff>
    </xdr:from>
    <xdr:to>
      <xdr:col>5</xdr:col>
      <xdr:colOff>1806700</xdr:colOff>
      <xdr:row>48</xdr:row>
      <xdr:rowOff>34232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>
          <a:spLocks noChangeAspect="1"/>
        </xdr:cNvSpPr>
      </xdr:nvSpPr>
      <xdr:spPr>
        <a:xfrm>
          <a:off x="3640504" y="9848432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342209</xdr:colOff>
      <xdr:row>39</xdr:row>
      <xdr:rowOff>142457</xdr:rowOff>
    </xdr:from>
    <xdr:to>
      <xdr:col>4</xdr:col>
      <xdr:colOff>108605</xdr:colOff>
      <xdr:row>48</xdr:row>
      <xdr:rowOff>34232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SpPr>
          <a:spLocks noChangeAspect="1"/>
        </xdr:cNvSpPr>
      </xdr:nvSpPr>
      <xdr:spPr>
        <a:xfrm>
          <a:off x="1113734" y="9848432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1849736</xdr:colOff>
      <xdr:row>39</xdr:row>
      <xdr:rowOff>142458</xdr:rowOff>
    </xdr:from>
    <xdr:to>
      <xdr:col>8</xdr:col>
      <xdr:colOff>15932</xdr:colOff>
      <xdr:row>48</xdr:row>
      <xdr:rowOff>34233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SpPr>
          <a:spLocks noChangeAspect="1"/>
        </xdr:cNvSpPr>
      </xdr:nvSpPr>
      <xdr:spPr>
        <a:xfrm>
          <a:off x="6164561" y="9848433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154354</xdr:colOff>
      <xdr:row>30</xdr:row>
      <xdr:rowOff>176003</xdr:rowOff>
    </xdr:from>
    <xdr:to>
      <xdr:col>5</xdr:col>
      <xdr:colOff>1806700</xdr:colOff>
      <xdr:row>39</xdr:row>
      <xdr:rowOff>96353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SpPr>
          <a:spLocks noChangeAspect="1"/>
        </xdr:cNvSpPr>
      </xdr:nvSpPr>
      <xdr:spPr>
        <a:xfrm>
          <a:off x="3640504" y="8119853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342209</xdr:colOff>
      <xdr:row>30</xdr:row>
      <xdr:rowOff>176003</xdr:rowOff>
    </xdr:from>
    <xdr:to>
      <xdr:col>4</xdr:col>
      <xdr:colOff>108605</xdr:colOff>
      <xdr:row>39</xdr:row>
      <xdr:rowOff>96353</xdr:rowOff>
    </xdr:to>
    <xdr:sp macro="" textlink="">
      <xdr:nvSpPr>
        <xdr:cNvPr id="6" name="Rechteck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SpPr>
          <a:spLocks noChangeAspect="1"/>
        </xdr:cNvSpPr>
      </xdr:nvSpPr>
      <xdr:spPr>
        <a:xfrm>
          <a:off x="1113734" y="8119853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1849736</xdr:colOff>
      <xdr:row>30</xdr:row>
      <xdr:rowOff>176004</xdr:rowOff>
    </xdr:from>
    <xdr:to>
      <xdr:col>8</xdr:col>
      <xdr:colOff>15932</xdr:colOff>
      <xdr:row>39</xdr:row>
      <xdr:rowOff>96354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SpPr>
          <a:spLocks noChangeAspect="1"/>
        </xdr:cNvSpPr>
      </xdr:nvSpPr>
      <xdr:spPr>
        <a:xfrm>
          <a:off x="6164561" y="8119854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154354</xdr:colOff>
      <xdr:row>21</xdr:row>
      <xdr:rowOff>152399</xdr:rowOff>
    </xdr:from>
    <xdr:to>
      <xdr:col>5</xdr:col>
      <xdr:colOff>1806700</xdr:colOff>
      <xdr:row>30</xdr:row>
      <xdr:rowOff>129899</xdr:rowOff>
    </xdr:to>
    <xdr:sp macro="" textlink="">
      <xdr:nvSpPr>
        <xdr:cNvPr id="8" name="Rechteck 7"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SpPr>
          <a:spLocks noChangeAspect="1"/>
        </xdr:cNvSpPr>
      </xdr:nvSpPr>
      <xdr:spPr>
        <a:xfrm>
          <a:off x="3640504" y="6381749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342209</xdr:colOff>
      <xdr:row>21</xdr:row>
      <xdr:rowOff>152399</xdr:rowOff>
    </xdr:from>
    <xdr:to>
      <xdr:col>4</xdr:col>
      <xdr:colOff>108605</xdr:colOff>
      <xdr:row>30</xdr:row>
      <xdr:rowOff>129899</xdr:rowOff>
    </xdr:to>
    <xdr:sp macro="" textlink="">
      <xdr:nvSpPr>
        <xdr:cNvPr id="9" name="Rechteck 8">
          <a:extLst>
            <a:ext uri="{FF2B5EF4-FFF2-40B4-BE49-F238E27FC236}">
              <a16:creationId xmlns:a16="http://schemas.microsoft.com/office/drawing/2014/main" id="{00000000-0008-0000-2100-000009000000}"/>
            </a:ext>
          </a:extLst>
        </xdr:cNvPr>
        <xdr:cNvSpPr>
          <a:spLocks noChangeAspect="1"/>
        </xdr:cNvSpPr>
      </xdr:nvSpPr>
      <xdr:spPr>
        <a:xfrm>
          <a:off x="1113734" y="6381749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1849736</xdr:colOff>
      <xdr:row>21</xdr:row>
      <xdr:rowOff>152400</xdr:rowOff>
    </xdr:from>
    <xdr:to>
      <xdr:col>8</xdr:col>
      <xdr:colOff>15932</xdr:colOff>
      <xdr:row>30</xdr:row>
      <xdr:rowOff>129900</xdr:rowOff>
    </xdr:to>
    <xdr:sp macro="" textlink="">
      <xdr:nvSpPr>
        <xdr:cNvPr id="10" name="Rechteck 9"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SpPr>
          <a:spLocks noChangeAspect="1"/>
        </xdr:cNvSpPr>
      </xdr:nvSpPr>
      <xdr:spPr>
        <a:xfrm>
          <a:off x="6164561" y="6381750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oneCellAnchor>
    <xdr:from>
      <xdr:col>0</xdr:col>
      <xdr:colOff>224264</xdr:colOff>
      <xdr:row>21</xdr:row>
      <xdr:rowOff>142874</xdr:rowOff>
    </xdr:from>
    <xdr:ext cx="342786" cy="5238753"/>
    <xdr:sp macro="" textlink="' '!A340">
      <xdr:nvSpPr>
        <xdr:cNvPr id="11" name="Textfeld 10"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 txBox="1"/>
      </xdr:nvSpPr>
      <xdr:spPr>
        <a:xfrm rot="16200000">
          <a:off x="-2223720" y="8820208"/>
          <a:ext cx="5238753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8938C668-FDF4-4709-9F4E-4BC62E5E8A7F}" type="TxLink">
            <a:rPr lang="en-US" sz="16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Probabilité d'occurrence</a:t>
          </a:fld>
          <a:endParaRPr lang="de-CH" sz="16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314325</xdr:colOff>
      <xdr:row>51</xdr:row>
      <xdr:rowOff>7284</xdr:rowOff>
    </xdr:from>
    <xdr:ext cx="7591425" cy="342786"/>
    <xdr:sp macro="" textlink="' '!A344">
      <xdr:nvSpPr>
        <xdr:cNvPr id="12" name="Textfeld 11">
          <a:extLst>
            <a:ext uri="{FF2B5EF4-FFF2-40B4-BE49-F238E27FC236}">
              <a16:creationId xmlns:a16="http://schemas.microsoft.com/office/drawing/2014/main" id="{00000000-0008-0000-2100-00000C000000}"/>
            </a:ext>
          </a:extLst>
        </xdr:cNvPr>
        <xdr:cNvSpPr txBox="1"/>
      </xdr:nvSpPr>
      <xdr:spPr>
        <a:xfrm>
          <a:off x="1085850" y="12094509"/>
          <a:ext cx="75914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03618AF9-8C42-468A-95A4-B583A6746F2C}" type="TxLink">
            <a:rPr lang="de-CH" sz="1600" b="0"/>
            <a:pPr algn="ctr"/>
            <a:t>Étendue des dégâts</a:t>
          </a:fld>
          <a:endParaRPr lang="de-CH" sz="1600" b="0"/>
        </a:p>
      </xdr:txBody>
    </xdr:sp>
    <xdr:clientData/>
  </xdr:oneCellAnchor>
  <xdr:oneCellAnchor>
    <xdr:from>
      <xdr:col>1</xdr:col>
      <xdr:colOff>94498</xdr:colOff>
      <xdr:row>21</xdr:row>
      <xdr:rowOff>152400</xdr:rowOff>
    </xdr:from>
    <xdr:ext cx="311496" cy="933449"/>
    <xdr:sp macro="" textlink="' '!A341">
      <xdr:nvSpPr>
        <xdr:cNvPr id="13" name="Textfeld 12">
          <a:extLst>
            <a:ext uri="{FF2B5EF4-FFF2-40B4-BE49-F238E27FC236}">
              <a16:creationId xmlns:a16="http://schemas.microsoft.com/office/drawing/2014/main" id="{00000000-0008-0000-2100-00000D000000}"/>
            </a:ext>
          </a:extLst>
        </xdr:cNvPr>
        <xdr:cNvSpPr txBox="1"/>
      </xdr:nvSpPr>
      <xdr:spPr>
        <a:xfrm rot="16200000">
          <a:off x="250246" y="6683202"/>
          <a:ext cx="93344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3AE332D8-05F9-4FCC-B781-7F2F22F00408}" type="TxLink">
            <a:rPr lang="de-CH" sz="1400" b="0"/>
            <a:pPr algn="ctr"/>
            <a:t>élevée</a:t>
          </a:fld>
          <a:endParaRPr lang="de-CH" sz="1400" b="0"/>
        </a:p>
      </xdr:txBody>
    </xdr:sp>
    <xdr:clientData/>
  </xdr:oneCellAnchor>
  <xdr:oneCellAnchor>
    <xdr:from>
      <xdr:col>1</xdr:col>
      <xdr:colOff>94503</xdr:colOff>
      <xdr:row>43</xdr:row>
      <xdr:rowOff>171450</xdr:rowOff>
    </xdr:from>
    <xdr:ext cx="311496" cy="928649"/>
    <xdr:sp macro="" textlink="' '!A343">
      <xdr:nvSpPr>
        <xdr:cNvPr id="14" name="Textfeld 13">
          <a:extLst>
            <a:ext uri="{FF2B5EF4-FFF2-40B4-BE49-F238E27FC236}">
              <a16:creationId xmlns:a16="http://schemas.microsoft.com/office/drawing/2014/main" id="{00000000-0008-0000-2100-00000E000000}"/>
            </a:ext>
          </a:extLst>
        </xdr:cNvPr>
        <xdr:cNvSpPr txBox="1"/>
      </xdr:nvSpPr>
      <xdr:spPr>
        <a:xfrm rot="16200000">
          <a:off x="252651" y="10986102"/>
          <a:ext cx="92864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17317CE5-7825-4F86-8608-9DF8479AE7D7}" type="TxLink">
            <a:rPr lang="de-CH" sz="1400" b="0"/>
            <a:pPr algn="ctr"/>
            <a:t>faible</a:t>
          </a:fld>
          <a:endParaRPr lang="de-CH" sz="1400" b="0"/>
        </a:p>
      </xdr:txBody>
    </xdr:sp>
    <xdr:clientData/>
  </xdr:oneCellAnchor>
  <xdr:oneCellAnchor>
    <xdr:from>
      <xdr:col>7</xdr:col>
      <xdr:colOff>409575</xdr:colOff>
      <xdr:row>49</xdr:row>
      <xdr:rowOff>181544</xdr:rowOff>
    </xdr:from>
    <xdr:ext cx="1381124" cy="311496"/>
    <xdr:sp macro="" textlink="' '!A341">
      <xdr:nvSpPr>
        <xdr:cNvPr id="15" name="Textfeld 14">
          <a:extLst>
            <a:ext uri="{FF2B5EF4-FFF2-40B4-BE49-F238E27FC236}">
              <a16:creationId xmlns:a16="http://schemas.microsoft.com/office/drawing/2014/main" id="{00000000-0008-0000-2100-00000F000000}"/>
            </a:ext>
          </a:extLst>
        </xdr:cNvPr>
        <xdr:cNvSpPr txBox="1"/>
      </xdr:nvSpPr>
      <xdr:spPr>
        <a:xfrm>
          <a:off x="7305675" y="11878244"/>
          <a:ext cx="138112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E1BBA671-C928-4253-89E3-A3DA32859DCF}" type="TxLink">
            <a:rPr lang="de-CH" sz="1400" b="0"/>
            <a:pPr algn="ctr"/>
            <a:t>élevée</a:t>
          </a:fld>
          <a:endParaRPr lang="de-CH" sz="1400" b="0"/>
        </a:p>
      </xdr:txBody>
    </xdr:sp>
    <xdr:clientData/>
  </xdr:oneCellAnchor>
  <xdr:oneCellAnchor>
    <xdr:from>
      <xdr:col>2</xdr:col>
      <xdr:colOff>295275</xdr:colOff>
      <xdr:row>49</xdr:row>
      <xdr:rowOff>173261</xdr:rowOff>
    </xdr:from>
    <xdr:ext cx="1381125" cy="311496"/>
    <xdr:sp macro="" textlink="' '!A343">
      <xdr:nvSpPr>
        <xdr:cNvPr id="16" name="Textfeld 15">
          <a:extLst>
            <a:ext uri="{FF2B5EF4-FFF2-40B4-BE49-F238E27FC236}">
              <a16:creationId xmlns:a16="http://schemas.microsoft.com/office/drawing/2014/main" id="{00000000-0008-0000-2100-000010000000}"/>
            </a:ext>
          </a:extLst>
        </xdr:cNvPr>
        <xdr:cNvSpPr txBox="1"/>
      </xdr:nvSpPr>
      <xdr:spPr>
        <a:xfrm>
          <a:off x="1066800" y="11869961"/>
          <a:ext cx="13811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6324AD4F-A8C3-4FAC-AF11-9BB982D91597}" type="TxLink">
            <a:rPr lang="de-CH" sz="1400" b="0"/>
            <a:pPr algn="ctr"/>
            <a:t>faible</a:t>
          </a:fld>
          <a:endParaRPr lang="de-CH" sz="1400" b="0"/>
        </a:p>
      </xdr:txBody>
    </xdr:sp>
    <xdr:clientData/>
  </xdr:oneCellAnchor>
  <xdr:oneCellAnchor>
    <xdr:from>
      <xdr:col>4</xdr:col>
      <xdr:colOff>361950</xdr:colOff>
      <xdr:row>49</xdr:row>
      <xdr:rowOff>124394</xdr:rowOff>
    </xdr:from>
    <xdr:ext cx="2057400" cy="311496"/>
    <xdr:sp macro="" textlink="' '!A342">
      <xdr:nvSpPr>
        <xdr:cNvPr id="17" name="Textfeld 16">
          <a:extLst>
            <a:ext uri="{FF2B5EF4-FFF2-40B4-BE49-F238E27FC236}">
              <a16:creationId xmlns:a16="http://schemas.microsoft.com/office/drawing/2014/main" id="{00000000-0008-0000-2100-000011000000}"/>
            </a:ext>
          </a:extLst>
        </xdr:cNvPr>
        <xdr:cNvSpPr txBox="1"/>
      </xdr:nvSpPr>
      <xdr:spPr>
        <a:xfrm>
          <a:off x="3848100" y="11830619"/>
          <a:ext cx="20574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B34A66A4-D6AE-4D7D-A57D-681E024B6386}" type="TxLink">
            <a:rPr lang="de-CH" sz="1400" b="0"/>
            <a:pPr algn="ctr"/>
            <a:t>moyenne</a:t>
          </a:fld>
          <a:endParaRPr lang="de-CH" sz="1400" b="0"/>
        </a:p>
      </xdr:txBody>
    </xdr:sp>
    <xdr:clientData/>
  </xdr:oneCellAnchor>
  <xdr:oneCellAnchor>
    <xdr:from>
      <xdr:col>1</xdr:col>
      <xdr:colOff>94505</xdr:colOff>
      <xdr:row>31</xdr:row>
      <xdr:rowOff>133350</xdr:rowOff>
    </xdr:from>
    <xdr:ext cx="311496" cy="1466850"/>
    <xdr:sp macro="" textlink="' '!A342">
      <xdr:nvSpPr>
        <xdr:cNvPr id="18" name="Textfeld 17">
          <a:extLst>
            <a:ext uri="{FF2B5EF4-FFF2-40B4-BE49-F238E27FC236}">
              <a16:creationId xmlns:a16="http://schemas.microsoft.com/office/drawing/2014/main" id="{00000000-0008-0000-2100-000012000000}"/>
            </a:ext>
          </a:extLst>
        </xdr:cNvPr>
        <xdr:cNvSpPr txBox="1"/>
      </xdr:nvSpPr>
      <xdr:spPr>
        <a:xfrm rot="16200000">
          <a:off x="-16447" y="8835852"/>
          <a:ext cx="14668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CB8EE676-4CC4-480C-8324-D2E3687DE879}" type="TxLink">
            <a:rPr lang="de-CH" sz="1400" b="0"/>
            <a:pPr algn="ctr"/>
            <a:t>moyenne</a:t>
          </a:fld>
          <a:endParaRPr lang="de-CH" sz="1400" b="0"/>
        </a:p>
      </xdr:txBody>
    </xdr:sp>
    <xdr:clientData/>
  </xdr:oneCellAnchor>
  <xdr:twoCellAnchor editAs="oneCell">
    <xdr:from>
      <xdr:col>0</xdr:col>
      <xdr:colOff>205739</xdr:colOff>
      <xdr:row>20</xdr:row>
      <xdr:rowOff>163830</xdr:rowOff>
    </xdr:from>
    <xdr:to>
      <xdr:col>11</xdr:col>
      <xdr:colOff>189175</xdr:colOff>
      <xdr:row>50</xdr:row>
      <xdr:rowOff>30478</xdr:rowOff>
    </xdr:to>
    <xdr:graphicFrame macro="">
      <xdr:nvGraphicFramePr>
        <xdr:cNvPr id="26" name="Diagramm 25">
          <a:extLst>
            <a:ext uri="{FF2B5EF4-FFF2-40B4-BE49-F238E27FC236}">
              <a16:creationId xmlns:a16="http://schemas.microsoft.com/office/drawing/2014/main" id="{00000000-0008-0000-21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0</xdr:row>
          <xdr:rowOff>19050</xdr:rowOff>
        </xdr:from>
        <xdr:to>
          <xdr:col>9</xdr:col>
          <xdr:colOff>0</xdr:colOff>
          <xdr:row>0</xdr:row>
          <xdr:rowOff>552450</xdr:rowOff>
        </xdr:to>
        <xdr:pic>
          <xdr:nvPicPr>
            <xdr:cNvPr id="47" name="Grafik 46">
              <a:extLst>
                <a:ext uri="{FF2B5EF4-FFF2-40B4-BE49-F238E27FC236}">
                  <a16:creationId xmlns:a16="http://schemas.microsoft.com/office/drawing/2014/main" id="{00000000-0008-0000-2100-00002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1734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924675" y="19050"/>
              <a:ext cx="217170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absolute">
    <xdr:from>
      <xdr:col>7</xdr:col>
      <xdr:colOff>1346835</xdr:colOff>
      <xdr:row>1</xdr:row>
      <xdr:rowOff>186690</xdr:rowOff>
    </xdr:from>
    <xdr:to>
      <xdr:col>7</xdr:col>
      <xdr:colOff>1536502</xdr:colOff>
      <xdr:row>2</xdr:row>
      <xdr:rowOff>84750</xdr:rowOff>
    </xdr:to>
    <xdr:sp macro="[0]!Register_ein" textlink="">
      <xdr:nvSpPr>
        <xdr:cNvPr id="42" name="Rechteck 78">
          <a:extLst>
            <a:ext uri="{FF2B5EF4-FFF2-40B4-BE49-F238E27FC236}">
              <a16:creationId xmlns:a16="http://schemas.microsoft.com/office/drawing/2014/main" id="{00000000-0008-0000-2100-00002A000000}"/>
            </a:ext>
          </a:extLst>
        </xdr:cNvPr>
        <xdr:cNvSpPr>
          <a:spLocks noChangeAspect="1"/>
        </xdr:cNvSpPr>
      </xdr:nvSpPr>
      <xdr:spPr>
        <a:xfrm>
          <a:off x="8463915" y="758190"/>
          <a:ext cx="189667" cy="18000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6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+</a:t>
          </a:r>
        </a:p>
      </xdr:txBody>
    </xdr:sp>
    <xdr:clientData fPrintsWithSheet="0"/>
  </xdr:twoCellAnchor>
  <xdr:twoCellAnchor editAs="absolute">
    <xdr:from>
      <xdr:col>7</xdr:col>
      <xdr:colOff>1566862</xdr:colOff>
      <xdr:row>1</xdr:row>
      <xdr:rowOff>186690</xdr:rowOff>
    </xdr:from>
    <xdr:to>
      <xdr:col>7</xdr:col>
      <xdr:colOff>1746052</xdr:colOff>
      <xdr:row>2</xdr:row>
      <xdr:rowOff>84750</xdr:rowOff>
    </xdr:to>
    <xdr:sp macro="[0]!Register_aus" textlink="">
      <xdr:nvSpPr>
        <xdr:cNvPr id="43" name="Rechteck 84">
          <a:extLst>
            <a:ext uri="{FF2B5EF4-FFF2-40B4-BE49-F238E27FC236}">
              <a16:creationId xmlns:a16="http://schemas.microsoft.com/office/drawing/2014/main" id="{00000000-0008-0000-2100-00002B000000}"/>
            </a:ext>
          </a:extLst>
        </xdr:cNvPr>
        <xdr:cNvSpPr>
          <a:spLocks noChangeAspect="1"/>
        </xdr:cNvSpPr>
      </xdr:nvSpPr>
      <xdr:spPr>
        <a:xfrm>
          <a:off x="8683942" y="758190"/>
          <a:ext cx="179190" cy="18000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-</a:t>
          </a:r>
        </a:p>
      </xdr:txBody>
    </xdr:sp>
    <xdr:clientData fPrintsWithSheet="0"/>
  </xdr:twoCellAnchor>
  <xdr:twoCellAnchor editAs="oneCell">
    <xdr:from>
      <xdr:col>8</xdr:col>
      <xdr:colOff>241935</xdr:colOff>
      <xdr:row>1</xdr:row>
      <xdr:rowOff>191452</xdr:rowOff>
    </xdr:from>
    <xdr:to>
      <xdr:col>8</xdr:col>
      <xdr:colOff>421935</xdr:colOff>
      <xdr:row>2</xdr:row>
      <xdr:rowOff>89512</xdr:rowOff>
    </xdr:to>
    <xdr:grpSp>
      <xdr:nvGrpSpPr>
        <xdr:cNvPr id="44" name="Gruppieren 47">
          <a:hlinkClick xmlns:r="http://schemas.openxmlformats.org/officeDocument/2006/relationships" r:id="rId3" tooltip="Help"/>
          <a:extLst>
            <a:ext uri="{FF2B5EF4-FFF2-40B4-BE49-F238E27FC236}">
              <a16:creationId xmlns:a16="http://schemas.microsoft.com/office/drawing/2014/main" id="{00000000-0008-0000-2100-00002C000000}"/>
            </a:ext>
          </a:extLst>
        </xdr:cNvPr>
        <xdr:cNvGrpSpPr>
          <a:grpSpLocks noChangeAspect="1"/>
        </xdr:cNvGrpSpPr>
      </xdr:nvGrpSpPr>
      <xdr:grpSpPr>
        <a:xfrm>
          <a:off x="9142095" y="762952"/>
          <a:ext cx="180000" cy="180000"/>
          <a:chOff x="8105775" y="571500"/>
          <a:chExt cx="172800" cy="172800"/>
        </a:xfrm>
      </xdr:grpSpPr>
      <xdr:sp macro="" textlink="">
        <xdr:nvSpPr>
          <xdr:cNvPr id="53" name="Rechteck 48">
            <a:extLst>
              <a:ext uri="{FF2B5EF4-FFF2-40B4-BE49-F238E27FC236}">
                <a16:creationId xmlns:a16="http://schemas.microsoft.com/office/drawing/2014/main" id="{00000000-0008-0000-2100-000035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4" name="Textfeld 49">
            <a:extLst>
              <a:ext uri="{FF2B5EF4-FFF2-40B4-BE49-F238E27FC236}">
                <a16:creationId xmlns:a16="http://schemas.microsoft.com/office/drawing/2014/main" id="{00000000-0008-0000-2100-000036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>
    <xdr:from>
      <xdr:col>5</xdr:col>
      <xdr:colOff>312420</xdr:colOff>
      <xdr:row>1</xdr:row>
      <xdr:rowOff>55245</xdr:rowOff>
    </xdr:from>
    <xdr:to>
      <xdr:col>7</xdr:col>
      <xdr:colOff>1149050</xdr:colOff>
      <xdr:row>2</xdr:row>
      <xdr:rowOff>93346</xdr:rowOff>
    </xdr:to>
    <xdr:grpSp>
      <xdr:nvGrpSpPr>
        <xdr:cNvPr id="27" name="Gruppieren 26">
          <a:extLst>
            <a:ext uri="{FF2B5EF4-FFF2-40B4-BE49-F238E27FC236}">
              <a16:creationId xmlns:a16="http://schemas.microsoft.com/office/drawing/2014/main" id="{00000000-0008-0000-2100-00001B000000}"/>
            </a:ext>
          </a:extLst>
        </xdr:cNvPr>
        <xdr:cNvGrpSpPr/>
      </xdr:nvGrpSpPr>
      <xdr:grpSpPr>
        <a:xfrm>
          <a:off x="4762500" y="626745"/>
          <a:ext cx="3503630" cy="320041"/>
          <a:chOff x="466725" y="657225"/>
          <a:chExt cx="3406475" cy="323851"/>
        </a:xfrm>
      </xdr:grpSpPr>
      <xdr:sp macro="" textlink="' '!A43">
        <xdr:nvSpPr>
          <xdr:cNvPr id="49" name="Rechteck: obere Ecken abgerundet 14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2100-000031000000}"/>
              </a:ext>
            </a:extLst>
          </xdr:cNvPr>
          <xdr:cNvSpPr/>
        </xdr:nvSpPr>
        <xdr:spPr>
          <a:xfrm>
            <a:off x="466725" y="657225"/>
            <a:ext cx="111073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74E0A1F7-74B8-4791-B37D-28E093C8089E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Mandat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8">
        <xdr:nvSpPr>
          <xdr:cNvPr id="50" name="Rechteck: obere Ecken abgerundet 15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00000000-0008-0000-2100-000032000000}"/>
              </a:ext>
            </a:extLst>
          </xdr:cNvPr>
          <xdr:cNvSpPr/>
        </xdr:nvSpPr>
        <xdr:spPr>
          <a:xfrm>
            <a:off x="1614597" y="657225"/>
            <a:ext cx="111073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06CAE43F-F67F-4961-9351-0D621B965EDF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Planification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' '!A45">
        <xdr:nvSpPr>
          <xdr:cNvPr id="51" name="Rechteck: obere Ecken abgerundet 21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00000000-0008-0000-2100-000033000000}"/>
              </a:ext>
            </a:extLst>
          </xdr:cNvPr>
          <xdr:cNvSpPr/>
        </xdr:nvSpPr>
        <xdr:spPr>
          <a:xfrm>
            <a:off x="2762468" y="657225"/>
            <a:ext cx="1110732" cy="323851"/>
          </a:xfrm>
          <a:prstGeom prst="round2Same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83D1A89F-9C44-48C7-A96B-5974F55CBE1B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Suivi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>
    <xdr:from>
      <xdr:col>0</xdr:col>
      <xdr:colOff>463962</xdr:colOff>
      <xdr:row>1</xdr:row>
      <xdr:rowOff>60960</xdr:rowOff>
    </xdr:from>
    <xdr:to>
      <xdr:col>4</xdr:col>
      <xdr:colOff>376077</xdr:colOff>
      <xdr:row>2</xdr:row>
      <xdr:rowOff>102871</xdr:rowOff>
    </xdr:to>
    <xdr:grpSp>
      <xdr:nvGrpSpPr>
        <xdr:cNvPr id="35" name="Gruppieren 34">
          <a:extLst>
            <a:ext uri="{FF2B5EF4-FFF2-40B4-BE49-F238E27FC236}">
              <a16:creationId xmlns:a16="http://schemas.microsoft.com/office/drawing/2014/main" id="{FA698917-AFE0-B7B8-A967-C1EE220D88D1}"/>
            </a:ext>
          </a:extLst>
        </xdr:cNvPr>
        <xdr:cNvGrpSpPr/>
      </xdr:nvGrpSpPr>
      <xdr:grpSpPr>
        <a:xfrm>
          <a:off x="463962" y="632460"/>
          <a:ext cx="3508755" cy="323851"/>
          <a:chOff x="9662160" y="1874520"/>
          <a:chExt cx="9780603" cy="323851"/>
        </a:xfrm>
      </xdr:grpSpPr>
      <xdr:sp macro="" textlink="' '!A474">
        <xdr:nvSpPr>
          <xdr:cNvPr id="21" name="Rechteck: obere Ecken abgerundet 14">
            <a:hlinkClick xmlns:r="http://schemas.openxmlformats.org/officeDocument/2006/relationships" r:id="rId7" tooltip="Go to"/>
            <a:extLst>
              <a:ext uri="{FF2B5EF4-FFF2-40B4-BE49-F238E27FC236}">
                <a16:creationId xmlns:a16="http://schemas.microsoft.com/office/drawing/2014/main" id="{BDB1A0EC-82D3-CE8E-CFB5-E16973B521A6}"/>
              </a:ext>
            </a:extLst>
          </xdr:cNvPr>
          <xdr:cNvSpPr/>
        </xdr:nvSpPr>
        <xdr:spPr>
          <a:xfrm>
            <a:off x="1657297" y="632460"/>
            <a:ext cx="1136627" cy="323851"/>
          </a:xfrm>
          <a:prstGeom prst="round2SameRect">
            <a:avLst/>
          </a:prstGeom>
          <a:gradFill>
            <a:gsLst>
              <a:gs pos="0">
                <a:srgbClr val="3379CD"/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197C67BD-1058-40E3-8FD7-995D5853C536}" type="TxLink">
              <a:rPr kumimoji="0" lang="en-US" sz="11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Parties prenantes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2" name="Rechteck: obere Ecken abgerundet 15">
            <a:hlinkClick xmlns:r="http://schemas.openxmlformats.org/officeDocument/2006/relationships" r:id="rId8" tooltip="Go to"/>
            <a:extLst>
              <a:ext uri="{FF2B5EF4-FFF2-40B4-BE49-F238E27FC236}">
                <a16:creationId xmlns:a16="http://schemas.microsoft.com/office/drawing/2014/main" id="{82B1B53D-4F99-BEB2-E90B-F5967593F49E}"/>
              </a:ext>
            </a:extLst>
          </xdr:cNvPr>
          <xdr:cNvSpPr/>
        </xdr:nvSpPr>
        <xdr:spPr>
          <a:xfrm>
            <a:off x="2836090" y="632460"/>
            <a:ext cx="1136627" cy="323851"/>
          </a:xfrm>
          <a:prstGeom prst="round2SameRect">
            <a:avLst/>
          </a:prstGeom>
          <a:gradFill>
            <a:gsLst>
              <a:gs pos="0">
                <a:srgbClr val="3379CD"/>
              </a:gs>
              <a:gs pos="80000">
                <a:schemeClr val="accent1">
                  <a:lumMod val="40000"/>
                  <a:lumOff val="60000"/>
                </a:schemeClr>
              </a:gs>
              <a:gs pos="100000">
                <a:schemeClr val="accent1">
                  <a:lumMod val="20000"/>
                  <a:lumOff val="80000"/>
                </a:schemeClr>
              </a:gs>
            </a:gsLst>
          </a:gradFill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SWOT</a:t>
            </a:r>
          </a:p>
        </xdr:txBody>
      </xdr:sp>
      <xdr:sp macro="" textlink="' '!A27">
        <xdr:nvSpPr>
          <xdr:cNvPr id="23" name="Rechteck: obere Ecken abgerundet 21">
            <a:hlinkClick xmlns:r="http://schemas.openxmlformats.org/officeDocument/2006/relationships" r:id="rId9" tooltip="Go to"/>
            <a:extLst>
              <a:ext uri="{FF2B5EF4-FFF2-40B4-BE49-F238E27FC236}">
                <a16:creationId xmlns:a16="http://schemas.microsoft.com/office/drawing/2014/main" id="{69E3E4D5-5932-79FD-0E01-0536E7355142}"/>
              </a:ext>
            </a:extLst>
          </xdr:cNvPr>
          <xdr:cNvSpPr/>
        </xdr:nvSpPr>
        <xdr:spPr>
          <a:xfrm>
            <a:off x="463962" y="632460"/>
            <a:ext cx="1136627" cy="323851"/>
          </a:xfrm>
          <a:prstGeom prst="round2Same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fld id="{8D85195D-624A-4BA0-8786-3DC11AB63062}" type="TxLink">
              <a:rPr kumimoji="0" lang="en-US" sz="1400" b="0" i="0" u="none" strike="noStrike" kern="0" cap="none" spc="0" normalizeH="0" baseline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t>Risques</a:t>
            </a:fld>
            <a:endParaRPr kumimoji="0" lang="de-CH" sz="1400" b="0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xdr:twoCellAnchor editAs="oneCell">
    <xdr:from>
      <xdr:col>0</xdr:col>
      <xdr:colOff>60960</xdr:colOff>
      <xdr:row>0</xdr:row>
      <xdr:rowOff>228600</xdr:rowOff>
    </xdr:from>
    <xdr:to>
      <xdr:col>0</xdr:col>
      <xdr:colOff>384960</xdr:colOff>
      <xdr:row>0</xdr:row>
      <xdr:rowOff>554065</xdr:rowOff>
    </xdr:to>
    <xdr:grpSp>
      <xdr:nvGrpSpPr>
        <xdr:cNvPr id="36" name="Gruppieren 35">
          <a:hlinkClick xmlns:r="http://schemas.openxmlformats.org/officeDocument/2006/relationships" r:id="rId10" tooltip="Home"/>
          <a:extLst>
            <a:ext uri="{FF2B5EF4-FFF2-40B4-BE49-F238E27FC236}">
              <a16:creationId xmlns:a16="http://schemas.microsoft.com/office/drawing/2014/main" id="{718105A4-4CD0-443D-8EE1-A5C8B09528BC}"/>
            </a:ext>
          </a:extLst>
        </xdr:cNvPr>
        <xdr:cNvGrpSpPr/>
      </xdr:nvGrpSpPr>
      <xdr:grpSpPr>
        <a:xfrm>
          <a:off x="60960" y="228600"/>
          <a:ext cx="324000" cy="325465"/>
          <a:chOff x="12729063" y="1298331"/>
          <a:chExt cx="324000" cy="323267"/>
        </a:xfrm>
      </xdr:grpSpPr>
      <xdr:sp macro="" textlink="">
        <xdr:nvSpPr>
          <xdr:cNvPr id="37" name="Rechteck 36">
            <a:extLst>
              <a:ext uri="{FF2B5EF4-FFF2-40B4-BE49-F238E27FC236}">
                <a16:creationId xmlns:a16="http://schemas.microsoft.com/office/drawing/2014/main" id="{D0ACAA6A-AFBF-061E-EB9C-367839DC9AFF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1" name="Grafik 40" descr="http://www.clker.com/cliparts/Z/I/5/L/X/x/white-house-md.png">
            <a:extLst>
              <a:ext uri="{FF2B5EF4-FFF2-40B4-BE49-F238E27FC236}">
                <a16:creationId xmlns:a16="http://schemas.microsoft.com/office/drawing/2014/main" id="{F2FF413C-FA4C-B34C-5167-310FE39CD98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0</xdr:col>
      <xdr:colOff>400200</xdr:colOff>
      <xdr:row>0</xdr:row>
      <xdr:rowOff>382615</xdr:rowOff>
    </xdr:to>
    <xdr:grpSp>
      <xdr:nvGrpSpPr>
        <xdr:cNvPr id="5" name="Gruppieren 53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GrpSpPr/>
      </xdr:nvGrpSpPr>
      <xdr:grpSpPr>
        <a:xfrm>
          <a:off x="76200" y="57150"/>
          <a:ext cx="324000" cy="325465"/>
          <a:chOff x="9191625" y="3009900"/>
          <a:chExt cx="324000" cy="325465"/>
        </a:xfrm>
      </xdr:grpSpPr>
      <xdr:sp macro="" textlink="">
        <xdr:nvSpPr>
          <xdr:cNvPr id="6" name="Rechteck 57">
            <a:extLst>
              <a:ext uri="{FF2B5EF4-FFF2-40B4-BE49-F238E27FC236}">
                <a16:creationId xmlns:a16="http://schemas.microsoft.com/office/drawing/2014/main" id="{00000000-0008-0000-2400-00000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links 58">
            <a:extLst>
              <a:ext uri="{FF2B5EF4-FFF2-40B4-BE49-F238E27FC236}">
                <a16:creationId xmlns:a16="http://schemas.microsoft.com/office/drawing/2014/main" id="{00000000-0008-0000-2400-00000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104776</xdr:colOff>
          <xdr:row>0</xdr:row>
          <xdr:rowOff>9526</xdr:rowOff>
        </xdr:from>
        <xdr:to>
          <xdr:col>23</xdr:col>
          <xdr:colOff>200026</xdr:colOff>
          <xdr:row>0</xdr:row>
          <xdr:rowOff>421274</xdr:rowOff>
        </xdr:to>
        <xdr:pic>
          <xdr:nvPicPr>
            <xdr:cNvPr id="8" name="Grafik 7">
              <a:extLst>
                <a:ext uri="{FF2B5EF4-FFF2-40B4-BE49-F238E27FC236}">
                  <a16:creationId xmlns:a16="http://schemas.microsoft.com/office/drawing/2014/main" id="{00000000-0008-0000-24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34596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10026" y="9526"/>
              <a:ext cx="1676400" cy="411748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107950</xdr:colOff>
      <xdr:row>0</xdr:row>
      <xdr:rowOff>104775</xdr:rowOff>
    </xdr:from>
    <xdr:to>
      <xdr:col>0</xdr:col>
      <xdr:colOff>431950</xdr:colOff>
      <xdr:row>2</xdr:row>
      <xdr:rowOff>49240</xdr:rowOff>
    </xdr:to>
    <xdr:grpSp>
      <xdr:nvGrpSpPr>
        <xdr:cNvPr id="2" name="Gruppieren 1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GrpSpPr/>
      </xdr:nvGrpSpPr>
      <xdr:grpSpPr>
        <a:xfrm>
          <a:off x="107950" y="104775"/>
          <a:ext cx="324000" cy="31022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25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5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742627</xdr:colOff>
      <xdr:row>5</xdr:row>
      <xdr:rowOff>251461</xdr:rowOff>
    </xdr:from>
    <xdr:to>
      <xdr:col>3</xdr:col>
      <xdr:colOff>2188420</xdr:colOff>
      <xdr:row>5</xdr:row>
      <xdr:rowOff>501109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00000000-0008-0000-2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8067" y="1097281"/>
          <a:ext cx="1445793" cy="2496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675005</xdr:colOff>
      <xdr:row>13</xdr:row>
      <xdr:rowOff>87630</xdr:rowOff>
    </xdr:from>
    <xdr:to>
      <xdr:col>7</xdr:col>
      <xdr:colOff>335280</xdr:colOff>
      <xdr:row>23</xdr:row>
      <xdr:rowOff>20505</xdr:rowOff>
    </xdr:to>
    <xdr:grpSp>
      <xdr:nvGrpSpPr>
        <xdr:cNvPr id="6" name="Gruppieren 3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GrpSpPr/>
      </xdr:nvGrpSpPr>
      <xdr:grpSpPr>
        <a:xfrm>
          <a:off x="2290445" y="2686050"/>
          <a:ext cx="2708275" cy="1578795"/>
          <a:chOff x="21566" y="2342251"/>
          <a:chExt cx="4398393" cy="2883381"/>
        </a:xfrm>
      </xdr:grpSpPr>
      <xdr:graphicFrame macro="">
        <xdr:nvGraphicFramePr>
          <xdr:cNvPr id="8" name="Diagramm 4">
            <a:extLst>
              <a:ext uri="{FF2B5EF4-FFF2-40B4-BE49-F238E27FC236}">
                <a16:creationId xmlns:a16="http://schemas.microsoft.com/office/drawing/2014/main" id="{00000000-0008-0000-2500-000008000000}"/>
              </a:ext>
            </a:extLst>
          </xdr:cNvPr>
          <xdr:cNvGraphicFramePr/>
        </xdr:nvGraphicFramePr>
        <xdr:xfrm>
          <a:off x="21566" y="2342251"/>
          <a:ext cx="4398393" cy="28833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graphicFrame macro="">
        <xdr:nvGraphicFramePr>
          <xdr:cNvPr id="9" name="Diagramm 5">
            <a:extLst>
              <a:ext uri="{FF2B5EF4-FFF2-40B4-BE49-F238E27FC236}">
                <a16:creationId xmlns:a16="http://schemas.microsoft.com/office/drawing/2014/main" id="{00000000-0008-0000-2500-000009000000}"/>
              </a:ext>
            </a:extLst>
          </xdr:cNvPr>
          <xdr:cNvGraphicFramePr>
            <a:graphicFrameLocks noChangeAspect="1"/>
          </xdr:cNvGraphicFramePr>
        </xdr:nvGraphicFramePr>
        <xdr:xfrm>
          <a:off x="258795" y="2471648"/>
          <a:ext cx="3932566" cy="25893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cxnSp macro="">
        <xdr:nvCxnSpPr>
          <xdr:cNvPr id="10" name="Gerader Verbinder 6">
            <a:extLst>
              <a:ext uri="{FF2B5EF4-FFF2-40B4-BE49-F238E27FC236}">
                <a16:creationId xmlns:a16="http://schemas.microsoft.com/office/drawing/2014/main" id="{00000000-0008-0000-2500-00000A000000}"/>
              </a:ext>
            </a:extLst>
          </xdr:cNvPr>
          <xdr:cNvCxnSpPr/>
        </xdr:nvCxnSpPr>
        <xdr:spPr>
          <a:xfrm>
            <a:off x="775658" y="3775654"/>
            <a:ext cx="2933341" cy="8627"/>
          </a:xfrm>
          <a:prstGeom prst="line">
            <a:avLst/>
          </a:prstGeom>
          <a:ln w="9525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1" name="Kreis 13">
            <a:extLst>
              <a:ext uri="{FF2B5EF4-FFF2-40B4-BE49-F238E27FC236}">
                <a16:creationId xmlns:a16="http://schemas.microsoft.com/office/drawing/2014/main" id="{00000000-0008-0000-2500-00000B000000}"/>
              </a:ext>
            </a:extLst>
          </xdr:cNvPr>
          <xdr:cNvSpPr/>
        </xdr:nvSpPr>
        <xdr:spPr>
          <a:xfrm rot="10800000">
            <a:off x="2135992" y="3640523"/>
            <a:ext cx="189063" cy="242979"/>
          </a:xfrm>
          <a:prstGeom prst="pie">
            <a:avLst>
              <a:gd name="adj1" fmla="val 0"/>
              <a:gd name="adj2" fmla="val 10763427"/>
            </a:avLst>
          </a:prstGeom>
          <a:solidFill>
            <a:schemeClr val="tx1"/>
          </a:solidFill>
          <a:ln>
            <a:noFill/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de-DE" sz="1100">
              <a:solidFill>
                <a:schemeClr val="tx1"/>
              </a:solidFill>
            </a:endParaRPr>
          </a:p>
        </xdr:txBody>
      </xdr:sp>
    </xdr:grpSp>
    <xdr:clientData/>
  </xdr:twoCellAnchor>
  <xdr:twoCellAnchor editAs="oneCell">
    <xdr:from>
      <xdr:col>0</xdr:col>
      <xdr:colOff>107950</xdr:colOff>
      <xdr:row>13</xdr:row>
      <xdr:rowOff>165100</xdr:rowOff>
    </xdr:from>
    <xdr:to>
      <xdr:col>0</xdr:col>
      <xdr:colOff>431950</xdr:colOff>
      <xdr:row>15</xdr:row>
      <xdr:rowOff>122265</xdr:rowOff>
    </xdr:to>
    <xdr:grpSp>
      <xdr:nvGrpSpPr>
        <xdr:cNvPr id="12" name="Gruppieren 53">
          <a:hlinkClick xmlns:r="http://schemas.openxmlformats.org/officeDocument/2006/relationships" r:id="rId6" tooltip="back"/>
          <a:extLst>
            <a:ext uri="{FF2B5EF4-FFF2-40B4-BE49-F238E27FC236}">
              <a16:creationId xmlns:a16="http://schemas.microsoft.com/office/drawing/2014/main" id="{00000000-0008-0000-2500-00000C000000}"/>
            </a:ext>
          </a:extLst>
        </xdr:cNvPr>
        <xdr:cNvGrpSpPr/>
      </xdr:nvGrpSpPr>
      <xdr:grpSpPr>
        <a:xfrm>
          <a:off x="107950" y="2763520"/>
          <a:ext cx="324000" cy="322925"/>
          <a:chOff x="9191625" y="3009900"/>
          <a:chExt cx="324000" cy="325465"/>
        </a:xfrm>
      </xdr:grpSpPr>
      <xdr:sp macro="" textlink="">
        <xdr:nvSpPr>
          <xdr:cNvPr id="13" name="Rechteck 57">
            <a:extLst>
              <a:ext uri="{FF2B5EF4-FFF2-40B4-BE49-F238E27FC236}">
                <a16:creationId xmlns:a16="http://schemas.microsoft.com/office/drawing/2014/main" id="{00000000-0008-0000-2500-00000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Pfeil nach links 58">
            <a:extLst>
              <a:ext uri="{FF2B5EF4-FFF2-40B4-BE49-F238E27FC236}">
                <a16:creationId xmlns:a16="http://schemas.microsoft.com/office/drawing/2014/main" id="{00000000-0008-0000-2500-00000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5</xdr:col>
      <xdr:colOff>604112</xdr:colOff>
      <xdr:row>1</xdr:row>
      <xdr:rowOff>31750</xdr:rowOff>
    </xdr:from>
    <xdr:to>
      <xdr:col>5</xdr:col>
      <xdr:colOff>776839</xdr:colOff>
      <xdr:row>2</xdr:row>
      <xdr:rowOff>20400</xdr:rowOff>
    </xdr:to>
    <xdr:grpSp>
      <xdr:nvGrpSpPr>
        <xdr:cNvPr id="19" name="Gruppieren 18">
          <a:hlinkClick xmlns:r="http://schemas.openxmlformats.org/officeDocument/2006/relationships" r:id="rId7" tooltip="Help"/>
          <a:extLst>
            <a:ext uri="{FF2B5EF4-FFF2-40B4-BE49-F238E27FC236}">
              <a16:creationId xmlns:a16="http://schemas.microsoft.com/office/drawing/2014/main" id="{00000000-0008-0000-2500-000013000000}"/>
            </a:ext>
          </a:extLst>
        </xdr:cNvPr>
        <xdr:cNvGrpSpPr/>
      </xdr:nvGrpSpPr>
      <xdr:grpSpPr>
        <a:xfrm>
          <a:off x="4475072" y="214630"/>
          <a:ext cx="172727" cy="171530"/>
          <a:chOff x="8105776" y="571500"/>
          <a:chExt cx="172800" cy="172800"/>
        </a:xfrm>
      </xdr:grpSpPr>
      <xdr:sp macro="" textlink="">
        <xdr:nvSpPr>
          <xdr:cNvPr id="26" name="Rechteck 25">
            <a:extLst>
              <a:ext uri="{FF2B5EF4-FFF2-40B4-BE49-F238E27FC236}">
                <a16:creationId xmlns:a16="http://schemas.microsoft.com/office/drawing/2014/main" id="{00000000-0008-0000-2500-00001A000000}"/>
              </a:ext>
            </a:extLst>
          </xdr:cNvPr>
          <xdr:cNvSpPr>
            <a:spLocks noChangeAspect="1"/>
          </xdr:cNvSpPr>
        </xdr:nvSpPr>
        <xdr:spPr>
          <a:xfrm>
            <a:off x="8105776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7" name="Textfeld 26">
            <a:extLst>
              <a:ext uri="{FF2B5EF4-FFF2-40B4-BE49-F238E27FC236}">
                <a16:creationId xmlns:a16="http://schemas.microsoft.com/office/drawing/2014/main" id="{00000000-0008-0000-2500-00001B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/>
  </xdr:twoCellAnchor>
  <xdr:twoCellAnchor>
    <xdr:from>
      <xdr:col>5</xdr:col>
      <xdr:colOff>367461</xdr:colOff>
      <xdr:row>1</xdr:row>
      <xdr:rowOff>31750</xdr:rowOff>
    </xdr:from>
    <xdr:to>
      <xdr:col>5</xdr:col>
      <xdr:colOff>550983</xdr:colOff>
      <xdr:row>2</xdr:row>
      <xdr:rowOff>31200</xdr:rowOff>
    </xdr:to>
    <xdr:sp macro="[0]!Protokoll_aus" textlink="">
      <xdr:nvSpPr>
        <xdr:cNvPr id="22" name="Rechteck 21">
          <a:hlinkClick xmlns:r="http://schemas.openxmlformats.org/officeDocument/2006/relationships" r:id="rId8" tooltip="Download new file"/>
          <a:extLst>
            <a:ext uri="{FF2B5EF4-FFF2-40B4-BE49-F238E27FC236}">
              <a16:creationId xmlns:a16="http://schemas.microsoft.com/office/drawing/2014/main" id="{00000000-0008-0000-2500-000016000000}"/>
            </a:ext>
          </a:extLst>
        </xdr:cNvPr>
        <xdr:cNvSpPr>
          <a:spLocks/>
        </xdr:cNvSpPr>
      </xdr:nvSpPr>
      <xdr:spPr>
        <a:xfrm>
          <a:off x="4310811" y="215900"/>
          <a:ext cx="183522" cy="18360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3600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2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  <a:sym typeface="Wingdings 2" panose="05020102010507070707" pitchFamily="18" charset="2"/>
            </a:rPr>
            <a:t></a:t>
          </a:r>
          <a:endParaRPr kumimoji="0" lang="de-CH" sz="1200" b="0" i="0" u="none" strike="noStrike" kern="0" cap="none" spc="0" normalizeH="0" baseline="0">
            <a:ln>
              <a:noFill/>
            </a:ln>
            <a:solidFill>
              <a:prstClr val="white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525780</xdr:colOff>
          <xdr:row>11</xdr:row>
          <xdr:rowOff>327660</xdr:rowOff>
        </xdr:from>
        <xdr:to>
          <xdr:col>5</xdr:col>
          <xdr:colOff>746760</xdr:colOff>
          <xdr:row>13</xdr:row>
          <xdr:rowOff>7620</xdr:rowOff>
        </xdr:to>
        <xdr:sp macro="" textlink="">
          <xdr:nvSpPr>
            <xdr:cNvPr id="516097" name="Check Box 1" descr="h" hidden="1">
              <a:extLst>
                <a:ext uri="{63B3BB69-23CF-44E3-9099-C40C66FF867C}">
                  <a14:compatExt spid="_x0000_s516097"/>
                </a:ext>
                <a:ext uri="{FF2B5EF4-FFF2-40B4-BE49-F238E27FC236}">
                  <a16:creationId xmlns:a16="http://schemas.microsoft.com/office/drawing/2014/main" id="{00000000-0008-0000-1D00-000001E007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525780</xdr:colOff>
          <xdr:row>10</xdr:row>
          <xdr:rowOff>15240</xdr:rowOff>
        </xdr:from>
        <xdr:to>
          <xdr:col>5</xdr:col>
          <xdr:colOff>769620</xdr:colOff>
          <xdr:row>11</xdr:row>
          <xdr:rowOff>53340</xdr:rowOff>
        </xdr:to>
        <xdr:sp macro="" textlink="">
          <xdr:nvSpPr>
            <xdr:cNvPr id="516098" name="Check Box 2" hidden="1">
              <a:extLst>
                <a:ext uri="{63B3BB69-23CF-44E3-9099-C40C66FF867C}">
                  <a14:compatExt spid="_x0000_s516098"/>
                </a:ext>
                <a:ext uri="{FF2B5EF4-FFF2-40B4-BE49-F238E27FC236}">
                  <a16:creationId xmlns:a16="http://schemas.microsoft.com/office/drawing/2014/main" id="{00000000-0008-0000-1D00-000002E007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iSerge\Dropbox\@fileswork\@Unterricht\@iManagement\01_Cockpi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iSerge\Dropbox\@fileswork\@Unterricht\@iManagement\009_Qualit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"/>
      <sheetName val="Menu"/>
      <sheetName val="Uebersicht"/>
      <sheetName val="Massnahmen"/>
      <sheetName val="Projektstand"/>
      <sheetName val="Jahresziele"/>
      <sheetName val="Innovation"/>
      <sheetName val="Quality"/>
      <sheetName val="Vision"/>
      <sheetName val="Kommunikation"/>
      <sheetName val="BSC"/>
      <sheetName val="Kennzahlen"/>
      <sheetName val="Risikomgmt"/>
      <sheetName val="sIndikatoren"/>
      <sheetName val="oIndikatoren"/>
      <sheetName val="iIndikatoren"/>
      <sheetName val="2Strategie"/>
      <sheetName val="2Businessplan"/>
      <sheetName val="2Innovation"/>
      <sheetName val="2Quality"/>
    </sheetNames>
    <sheetDataSet>
      <sheetData sheetId="0"/>
      <sheetData sheetId="1"/>
      <sheetData sheetId="2"/>
      <sheetData sheetId="3">
        <row r="6">
          <cell r="E6" t="str">
            <v>Indicateur 1</v>
          </cell>
          <cell r="P6" t="str">
            <v>Indicateur 1</v>
          </cell>
        </row>
        <row r="7">
          <cell r="P7" t="str">
            <v>Indicateur 2</v>
          </cell>
        </row>
        <row r="8">
          <cell r="P8" t="str">
            <v>Indicateur 3</v>
          </cell>
        </row>
        <row r="9">
          <cell r="P9">
            <v>0</v>
          </cell>
        </row>
        <row r="10">
          <cell r="E10">
            <v>0</v>
          </cell>
          <cell r="P10">
            <v>0</v>
          </cell>
        </row>
        <row r="11">
          <cell r="P11">
            <v>0</v>
          </cell>
        </row>
        <row r="12">
          <cell r="E12">
            <v>0</v>
          </cell>
          <cell r="P12">
            <v>0</v>
          </cell>
        </row>
        <row r="13">
          <cell r="P13">
            <v>0</v>
          </cell>
        </row>
        <row r="14">
          <cell r="E14">
            <v>0</v>
          </cell>
          <cell r="P14">
            <v>0</v>
          </cell>
        </row>
        <row r="15">
          <cell r="P15">
            <v>0</v>
          </cell>
        </row>
        <row r="16">
          <cell r="E16">
            <v>0</v>
          </cell>
          <cell r="P16">
            <v>0</v>
          </cell>
        </row>
        <row r="17">
          <cell r="P17">
            <v>0</v>
          </cell>
        </row>
        <row r="18">
          <cell r="E18">
            <v>0</v>
          </cell>
          <cell r="P18">
            <v>0</v>
          </cell>
        </row>
        <row r="19">
          <cell r="P19">
            <v>0</v>
          </cell>
        </row>
        <row r="20">
          <cell r="E20">
            <v>0</v>
          </cell>
          <cell r="P20">
            <v>0</v>
          </cell>
        </row>
        <row r="21">
          <cell r="P21">
            <v>0</v>
          </cell>
        </row>
        <row r="22">
          <cell r="E22">
            <v>0</v>
          </cell>
          <cell r="P22">
            <v>0</v>
          </cell>
        </row>
        <row r="23">
          <cell r="P23">
            <v>0</v>
          </cell>
        </row>
        <row r="24">
          <cell r="E24">
            <v>0</v>
          </cell>
          <cell r="P24">
            <v>0</v>
          </cell>
        </row>
        <row r="25">
          <cell r="P25">
            <v>0</v>
          </cell>
        </row>
        <row r="26">
          <cell r="E26">
            <v>0</v>
          </cell>
          <cell r="P26">
            <v>0</v>
          </cell>
        </row>
        <row r="27">
          <cell r="P27">
            <v>0</v>
          </cell>
        </row>
        <row r="28">
          <cell r="E28">
            <v>0</v>
          </cell>
          <cell r="P28">
            <v>0</v>
          </cell>
        </row>
        <row r="29">
          <cell r="P29">
            <v>0</v>
          </cell>
        </row>
        <row r="30">
          <cell r="E30">
            <v>0</v>
          </cell>
          <cell r="P30">
            <v>0</v>
          </cell>
        </row>
        <row r="31">
          <cell r="P31">
            <v>0</v>
          </cell>
        </row>
        <row r="32">
          <cell r="E32">
            <v>0</v>
          </cell>
          <cell r="P32">
            <v>0</v>
          </cell>
        </row>
        <row r="33">
          <cell r="P33">
            <v>0</v>
          </cell>
        </row>
        <row r="34">
          <cell r="E34">
            <v>0</v>
          </cell>
          <cell r="P34">
            <v>0</v>
          </cell>
        </row>
        <row r="35">
          <cell r="P35">
            <v>0</v>
          </cell>
        </row>
        <row r="36">
          <cell r="E36">
            <v>0</v>
          </cell>
          <cell r="P36">
            <v>0</v>
          </cell>
        </row>
        <row r="37">
          <cell r="P37">
            <v>0</v>
          </cell>
        </row>
        <row r="38">
          <cell r="E38">
            <v>0</v>
          </cell>
          <cell r="P38">
            <v>0</v>
          </cell>
        </row>
        <row r="39">
          <cell r="P39">
            <v>0</v>
          </cell>
        </row>
        <row r="40">
          <cell r="E40">
            <v>0</v>
          </cell>
          <cell r="P40">
            <v>0</v>
          </cell>
        </row>
        <row r="41">
          <cell r="P41">
            <v>0</v>
          </cell>
        </row>
        <row r="42">
          <cell r="E42">
            <v>0</v>
          </cell>
          <cell r="P42">
            <v>0</v>
          </cell>
        </row>
        <row r="43">
          <cell r="P43">
            <v>0</v>
          </cell>
        </row>
        <row r="44">
          <cell r="E44">
            <v>0</v>
          </cell>
          <cell r="P44">
            <v>0</v>
          </cell>
        </row>
        <row r="45">
          <cell r="P45">
            <v>0</v>
          </cell>
        </row>
        <row r="46">
          <cell r="E46">
            <v>0</v>
          </cell>
          <cell r="P46">
            <v>0</v>
          </cell>
        </row>
        <row r="47">
          <cell r="P47">
            <v>0</v>
          </cell>
        </row>
        <row r="48">
          <cell r="E48">
            <v>0</v>
          </cell>
          <cell r="P48">
            <v>0</v>
          </cell>
        </row>
        <row r="49">
          <cell r="P49">
            <v>0</v>
          </cell>
        </row>
        <row r="50">
          <cell r="E50">
            <v>0</v>
          </cell>
          <cell r="P50">
            <v>0</v>
          </cell>
        </row>
        <row r="51">
          <cell r="P51">
            <v>0</v>
          </cell>
        </row>
        <row r="52">
          <cell r="E52">
            <v>0</v>
          </cell>
          <cell r="P52">
            <v>0</v>
          </cell>
        </row>
        <row r="53">
          <cell r="P53">
            <v>0</v>
          </cell>
        </row>
        <row r="54">
          <cell r="E54">
            <v>0</v>
          </cell>
          <cell r="P54">
            <v>0</v>
          </cell>
        </row>
        <row r="55">
          <cell r="P55">
            <v>0</v>
          </cell>
        </row>
        <row r="56">
          <cell r="E56">
            <v>0</v>
          </cell>
          <cell r="P56">
            <v>0</v>
          </cell>
        </row>
        <row r="57">
          <cell r="P57">
            <v>0</v>
          </cell>
        </row>
        <row r="58">
          <cell r="E58">
            <v>0</v>
          </cell>
          <cell r="P58">
            <v>0</v>
          </cell>
        </row>
        <row r="59">
          <cell r="P59">
            <v>0</v>
          </cell>
        </row>
        <row r="60">
          <cell r="E60">
            <v>0</v>
          </cell>
          <cell r="P60">
            <v>0</v>
          </cell>
        </row>
        <row r="61">
          <cell r="P61">
            <v>0</v>
          </cell>
        </row>
        <row r="62">
          <cell r="E62">
            <v>0</v>
          </cell>
          <cell r="P62">
            <v>0</v>
          </cell>
        </row>
        <row r="63">
          <cell r="P63">
            <v>0</v>
          </cell>
        </row>
        <row r="64">
          <cell r="E64">
            <v>0</v>
          </cell>
          <cell r="P64">
            <v>0</v>
          </cell>
        </row>
        <row r="65">
          <cell r="P65">
            <v>0</v>
          </cell>
        </row>
        <row r="66">
          <cell r="E66">
            <v>0</v>
          </cell>
          <cell r="P66">
            <v>0</v>
          </cell>
        </row>
        <row r="67">
          <cell r="P67">
            <v>0</v>
          </cell>
        </row>
        <row r="68">
          <cell r="E68">
            <v>0</v>
          </cell>
          <cell r="P68">
            <v>0</v>
          </cell>
        </row>
        <row r="69">
          <cell r="P69">
            <v>0</v>
          </cell>
        </row>
        <row r="70">
          <cell r="E70">
            <v>0</v>
          </cell>
          <cell r="P70">
            <v>0</v>
          </cell>
        </row>
        <row r="71">
          <cell r="P71">
            <v>0</v>
          </cell>
        </row>
        <row r="72">
          <cell r="E72">
            <v>0</v>
          </cell>
          <cell r="P72">
            <v>0</v>
          </cell>
        </row>
        <row r="73">
          <cell r="P73">
            <v>0</v>
          </cell>
        </row>
        <row r="74">
          <cell r="E74">
            <v>0</v>
          </cell>
          <cell r="P74">
            <v>0</v>
          </cell>
        </row>
        <row r="75">
          <cell r="P75">
            <v>0</v>
          </cell>
        </row>
        <row r="76">
          <cell r="E76">
            <v>0</v>
          </cell>
          <cell r="P76">
            <v>0</v>
          </cell>
        </row>
        <row r="77">
          <cell r="P77">
            <v>0</v>
          </cell>
        </row>
        <row r="78">
          <cell r="E78">
            <v>0</v>
          </cell>
          <cell r="P78">
            <v>0</v>
          </cell>
        </row>
        <row r="79">
          <cell r="P79">
            <v>0</v>
          </cell>
        </row>
        <row r="80">
          <cell r="E80">
            <v>0</v>
          </cell>
          <cell r="P80">
            <v>0</v>
          </cell>
        </row>
        <row r="81">
          <cell r="P81">
            <v>0</v>
          </cell>
        </row>
        <row r="82">
          <cell r="E82">
            <v>0</v>
          </cell>
          <cell r="P82">
            <v>0</v>
          </cell>
        </row>
        <row r="83">
          <cell r="P83">
            <v>0</v>
          </cell>
        </row>
        <row r="84">
          <cell r="E84">
            <v>0</v>
          </cell>
          <cell r="P84">
            <v>0</v>
          </cell>
        </row>
        <row r="85">
          <cell r="P85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7">
          <cell r="D7" t="str">
            <v>Absatzänderung</v>
          </cell>
        </row>
        <row r="8">
          <cell r="D8" t="str">
            <v>Abwanderungsrate</v>
          </cell>
        </row>
        <row r="9">
          <cell r="D9" t="str">
            <v>Angebotserfolgsquote</v>
          </cell>
        </row>
        <row r="10">
          <cell r="D10" t="str">
            <v>ABC-Analyse ( B )</v>
          </cell>
        </row>
        <row r="11">
          <cell r="D11" t="str">
            <v>Beschwerdequote</v>
          </cell>
        </row>
        <row r="12">
          <cell r="D12" t="str">
            <v>Erstkaufrate</v>
          </cell>
        </row>
        <row r="13">
          <cell r="D13" t="str">
            <v>Kundenfrequenz</v>
          </cell>
        </row>
        <row r="14">
          <cell r="D14" t="str">
            <v>Marktanteil</v>
          </cell>
        </row>
        <row r="15">
          <cell r="D15" t="str">
            <v>Retourenquote</v>
          </cell>
        </row>
        <row r="16">
          <cell r="D16" t="str">
            <v>Sättigungsgrad</v>
          </cell>
        </row>
        <row r="17">
          <cell r="D17" t="str">
            <v>Wiederkaufsrate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 t="str">
            <v>Cashflow (operativ)</v>
          </cell>
        </row>
        <row r="28">
          <cell r="D28" t="str">
            <v>Debitorenlaufzeit</v>
          </cell>
        </row>
        <row r="29">
          <cell r="D29" t="str">
            <v>EBIT</v>
          </cell>
        </row>
        <row r="30">
          <cell r="D30" t="str">
            <v>Eigenkapitalquote</v>
          </cell>
        </row>
        <row r="31">
          <cell r="D31" t="str">
            <v>Eigenkapitalrendite</v>
          </cell>
        </row>
        <row r="32">
          <cell r="D32" t="str">
            <v>Free Cashflow</v>
          </cell>
        </row>
        <row r="33">
          <cell r="D33" t="str">
            <v>Gesamtkapitalrentabilität</v>
          </cell>
        </row>
        <row r="34">
          <cell r="D34" t="str">
            <v>Gesamtkapitalumschlag</v>
          </cell>
        </row>
        <row r="35">
          <cell r="D35" t="str">
            <v>Jahresüberschuss (Gewinn)</v>
          </cell>
        </row>
        <row r="36">
          <cell r="D36" t="str">
            <v>Kapitalbindung</v>
          </cell>
        </row>
        <row r="37">
          <cell r="D37" t="str">
            <v>Liquidität 2. Grades</v>
          </cell>
        </row>
        <row r="38">
          <cell r="D38" t="str">
            <v>Personalintensität</v>
          </cell>
        </row>
        <row r="39">
          <cell r="D39" t="str">
            <v>Return on Investment (ROI)</v>
          </cell>
        </row>
        <row r="40">
          <cell r="D40" t="str">
            <v>Rohertragsmarge</v>
          </cell>
        </row>
        <row r="41">
          <cell r="D41" t="str">
            <v>Durch. Alter der MA</v>
          </cell>
        </row>
        <row r="42">
          <cell r="D42" t="str">
            <v>Fluktuationsrate</v>
          </cell>
        </row>
        <row r="43">
          <cell r="D43" t="str">
            <v>Krankenquote</v>
          </cell>
        </row>
        <row r="44">
          <cell r="D44" t="str">
            <v>Mobbingquote</v>
          </cell>
        </row>
        <row r="45">
          <cell r="D45" t="str">
            <v>Qualifikationsstruktur</v>
          </cell>
        </row>
        <row r="46">
          <cell r="D46" t="str">
            <v>Unfallquote</v>
          </cell>
        </row>
        <row r="47">
          <cell r="D47" t="str">
            <v>Vert. Leistungsbemessung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 t="str">
            <v>Anz. Prozessverbesserungen</v>
          </cell>
        </row>
        <row r="52">
          <cell r="D52" t="str">
            <v>Prozesse 2</v>
          </cell>
        </row>
        <row r="53">
          <cell r="D53" t="str">
            <v>Prozesse 3</v>
          </cell>
        </row>
        <row r="54">
          <cell r="D54" t="str">
            <v>Prozesse 4</v>
          </cell>
        </row>
        <row r="55">
          <cell r="D55" t="str">
            <v>Prozesse 5</v>
          </cell>
        </row>
        <row r="56">
          <cell r="D56" t="str">
            <v>Prozesse 6</v>
          </cell>
        </row>
        <row r="57">
          <cell r="D57" t="str">
            <v>Diverses 1</v>
          </cell>
        </row>
        <row r="58">
          <cell r="D58" t="str">
            <v>Diverses 2</v>
          </cell>
        </row>
        <row r="59">
          <cell r="D59" t="str">
            <v>Diverses 3</v>
          </cell>
        </row>
        <row r="60">
          <cell r="D60" t="str">
            <v>Diverses 4</v>
          </cell>
        </row>
        <row r="61">
          <cell r="D61" t="str">
            <v>Diverses 5</v>
          </cell>
        </row>
        <row r="62">
          <cell r="D62" t="str">
            <v>Diverses 6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PI"/>
      <sheetName val=" "/>
      <sheetName val="Menu QM"/>
      <sheetName val="Q-Planung"/>
      <sheetName val="Q-Steuerung"/>
      <sheetName val="Q-Pruefung"/>
      <sheetName val="Q-Sicherung"/>
      <sheetName val="Produkte"/>
      <sheetName val="HQ1"/>
      <sheetName val="HQ2"/>
      <sheetName val="HQ3"/>
      <sheetName val="HQ4"/>
      <sheetName val="HQ5"/>
      <sheetName val="Kunden"/>
      <sheetName val="Fishbone"/>
      <sheetName val="Pareto"/>
      <sheetName val="Risikomgmt"/>
      <sheetName val="PESTLE"/>
      <sheetName val="Branchenstruktur"/>
      <sheetName val="Kernaktivitäten"/>
      <sheetName val="Kernkompetenzen"/>
      <sheetName val="Potenzial"/>
      <sheetName val="Swot-Analyse"/>
      <sheetName val="Markt"/>
      <sheetName val="Portfolio"/>
      <sheetName val="Lebenszyklus"/>
      <sheetName val="Kommunikation"/>
      <sheetName val="Matrix"/>
      <sheetName val="Kundenbeziehung"/>
      <sheetName val="Segmente"/>
      <sheetName val="Distribution"/>
      <sheetName val="SinusMilieu"/>
      <sheetName val="Marketingmix"/>
      <sheetName val="Einnahmen"/>
      <sheetName val="Kosten"/>
      <sheetName val="Marketingplan"/>
      <sheetName val="Rentabilität"/>
      <sheetName val="Zukunftsszenarien"/>
      <sheetName val="Kennzahlenanalyse"/>
      <sheetName val="Benchmark"/>
      <sheetName val="Forces"/>
      <sheetName val="Chances"/>
      <sheetName val="Help"/>
      <sheetName val="2Prozesse"/>
      <sheetName val="2Strateg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F6" t="str">
            <v>Bars</v>
          </cell>
        </row>
        <row r="7">
          <cell r="E7" t="str">
            <v>Reason 20</v>
          </cell>
          <cell r="F7">
            <v>20</v>
          </cell>
          <cell r="H7">
            <v>9.5238095238095233E-2</v>
          </cell>
        </row>
        <row r="8">
          <cell r="F8">
            <v>19</v>
          </cell>
        </row>
        <row r="9">
          <cell r="F9">
            <v>18</v>
          </cell>
        </row>
        <row r="10">
          <cell r="F10">
            <v>17</v>
          </cell>
        </row>
        <row r="11">
          <cell r="F11">
            <v>16</v>
          </cell>
        </row>
        <row r="12">
          <cell r="F12">
            <v>15</v>
          </cell>
        </row>
        <row r="13">
          <cell r="F13">
            <v>14</v>
          </cell>
        </row>
        <row r="14">
          <cell r="F14">
            <v>13</v>
          </cell>
        </row>
        <row r="15">
          <cell r="F15">
            <v>12</v>
          </cell>
        </row>
        <row r="16">
          <cell r="F16">
            <v>11</v>
          </cell>
        </row>
        <row r="17">
          <cell r="F17">
            <v>10</v>
          </cell>
        </row>
        <row r="18">
          <cell r="F18">
            <v>9</v>
          </cell>
        </row>
        <row r="19">
          <cell r="F19">
            <v>8</v>
          </cell>
        </row>
        <row r="20">
          <cell r="F20">
            <v>7</v>
          </cell>
        </row>
        <row r="21">
          <cell r="F21">
            <v>6</v>
          </cell>
        </row>
        <row r="22">
          <cell r="F22">
            <v>5</v>
          </cell>
        </row>
        <row r="23">
          <cell r="F23">
            <v>4</v>
          </cell>
        </row>
        <row r="24">
          <cell r="F24">
            <v>3</v>
          </cell>
        </row>
        <row r="25">
          <cell r="F25">
            <v>2</v>
          </cell>
        </row>
        <row r="26">
          <cell r="F26">
            <v>1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D90BA3-8403-414B-9A69-BE9E2913564F}" name="Liste_des_tâches" displayName="Liste_des_tâches" ref="C5:N21" totalsRowShown="0" headerRowDxfId="8" dataDxfId="7">
  <autoFilter ref="C5:N21" xr:uid="{00000000-0009-0000-0100-000004000000}"/>
  <tableColumns count="12">
    <tableColumn id="1" xr3:uid="{096A2243-7639-4919-9915-23F9C13505DC}" name="No" dataDxfId="20"/>
    <tableColumn id="12" xr3:uid="{A42FCDFC-B46E-4226-BE85-AF9F49FECACA}" name="Colonne3" dataDxfId="19"/>
    <tableColumn id="9" xr3:uid="{6751DCC7-1F8D-40E0-BF31-1E4F80FB8F55}" name="Colonne2" dataDxfId="18"/>
    <tableColumn id="4" xr3:uid="{A6C50A59-E97C-4A4F-800C-22E3504C9A16}" name="Colonne1" dataDxfId="17"/>
    <tableColumn id="8" xr3:uid="{8367904A-174B-475C-AAD3-E41BF0341BDD}" name="Qui" dataDxfId="16"/>
    <tableColumn id="2" xr3:uid="{5366A779-AE10-4982-BA6A-205CB4B2F236}" name="Tâche / Décision / Projet" dataDxfId="15"/>
    <tableColumn id="3" xr3:uid="{FF6DD957-F60C-4C97-A22B-B94E01FC3892}" name="Priorité" dataDxfId="14"/>
    <tableColumn id="6" xr3:uid="{6218CDBD-8229-4EB1-BC8C-F4A77D8ECFB0}" name="Date de début " dataDxfId="13" dataCellStyle="Date"/>
    <tableColumn id="7" xr3:uid="{C9617AE2-2A22-477D-BF02-AF3692576777}" name="Date d’échéance" dataDxfId="12" dataCellStyle="Date"/>
    <tableColumn id="11" xr3:uid="{F42FCD0E-4788-4035-9F5D-2B2DC5C9E96E}" name="Etat" dataDxfId="11" dataCellStyle="Date"/>
    <tableColumn id="5" xr3:uid="{6C749718-925B-42EB-AFC6-4CF25FA619DD}" name="% achevé" dataDxfId="10"/>
    <tableColumn id="10" xr3:uid="{71731E00-B827-4EEA-9A01-40B0428F9E11}" name="Remarques" dataDxfId="9"/>
  </tableColumns>
  <tableStyleInfo name="Liste de tâches" showFirstColumn="0" showLastColumn="0" showRowStripes="1" showColumnStripes="0"/>
  <extLst>
    <ext xmlns:x14="http://schemas.microsoft.com/office/spreadsheetml/2009/9/main" uri="{504A1905-F514-4f6f-8877-14C23A59335A}">
      <x14:table altTextSummary="Liste des tâches contenant les rubriques Tâche, Priorité, État, Date de début, Date d’échéance, Pourcentage achevé, Terminée/En retard et Notes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elle2" displayName="Tabelle2" ref="B5:F155" totalsRowShown="0" headerRowDxfId="1" dataDxfId="0" headerRowBorderDxfId="280" tableBorderDxfId="279" totalsRowBorderDxfId="278">
  <autoFilter ref="B5:F155" xr:uid="{00000000-0009-0000-0100-000002000000}"/>
  <tableColumns count="5">
    <tableColumn id="1" xr3:uid="{00000000-0010-0000-0100-000001000000}" name="Spalte1" dataDxfId="6"/>
    <tableColumn id="5" xr3:uid="{00000000-0010-0000-0100-000005000000}" name="Spalte12" dataDxfId="5">
      <calculatedColumnFormula>TODAY()</calculatedColumnFormula>
    </tableColumn>
    <tableColumn id="2" xr3:uid="{00000000-0010-0000-0100-000002000000}" name="Spalte2" dataDxfId="4"/>
    <tableColumn id="3" xr3:uid="{00000000-0010-0000-0100-000003000000}" name="Spalte3" dataDxfId="3"/>
    <tableColumn id="4" xr3:uid="{00000000-0010-0000-0100-000004000000}" name="Spalte4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100" baseline="0"/>
        </a:defPPr>
      </a:lstStyle>
      <a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3.xml"/><Relationship Id="rId2" Type="http://schemas.openxmlformats.org/officeDocument/2006/relationships/hyperlink" Target="mailto:abc@def" TargetMode="External"/><Relationship Id="rId1" Type="http://schemas.openxmlformats.org/officeDocument/2006/relationships/hyperlink" Target="mailto:x.y@hevs.ch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www.2imanagement.ch/?id=49" TargetMode="Externa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0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table" Target="../tables/table2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3300"/>
  </sheetPr>
  <dimension ref="A1:CN811"/>
  <sheetViews>
    <sheetView showRowColHeaders="0" zoomScaleNormal="100" workbookViewId="0">
      <selection activeCell="X1" sqref="X1"/>
    </sheetView>
  </sheetViews>
  <sheetFormatPr baseColWidth="10" defaultColWidth="11.44140625" defaultRowHeight="13.8" x14ac:dyDescent="0.3"/>
  <cols>
    <col min="1" max="1" width="37.5546875" style="351" customWidth="1"/>
    <col min="2" max="2" width="4.77734375" style="221" customWidth="1"/>
    <col min="3" max="3" width="41" style="249" bestFit="1" customWidth="1"/>
    <col min="4" max="6" width="45.88671875" style="249" customWidth="1"/>
    <col min="7" max="7" width="11.44140625" style="219"/>
    <col min="8" max="21" width="11.44140625" style="220"/>
    <col min="22" max="22" width="14.88671875" style="220" customWidth="1"/>
    <col min="23" max="23" width="14.88671875" style="220" hidden="1" customWidth="1"/>
    <col min="24" max="24" width="14.88671875" style="220" customWidth="1"/>
    <col min="25" max="28" width="11.44140625" style="220"/>
    <col min="29" max="29" width="11.44140625" style="219"/>
    <col min="30" max="43" width="11.44140625" style="220"/>
    <col min="44" max="44" width="14.88671875" style="220" customWidth="1"/>
    <col min="45" max="45" width="14.88671875" style="220" hidden="1" customWidth="1"/>
    <col min="46" max="46" width="14.88671875" style="220" customWidth="1"/>
    <col min="47" max="50" width="11.44140625" style="220"/>
    <col min="51" max="51" width="11.44140625" style="219"/>
    <col min="52" max="65" width="11.44140625" style="220"/>
    <col min="66" max="66" width="14.88671875" style="220" customWidth="1"/>
    <col min="67" max="67" width="14.88671875" style="220" hidden="1" customWidth="1"/>
    <col min="68" max="68" width="14.88671875" style="220" customWidth="1"/>
    <col min="69" max="72" width="11.44140625" style="220"/>
    <col min="73" max="73" width="11.44140625" style="219"/>
    <col min="74" max="87" width="11.44140625" style="220"/>
    <col min="88" max="88" width="14.88671875" style="220" customWidth="1"/>
    <col min="89" max="89" width="14.88671875" style="220" hidden="1" customWidth="1"/>
    <col min="90" max="90" width="14.88671875" style="220" customWidth="1"/>
    <col min="91" max="92" width="11.44140625" style="220"/>
    <col min="93" max="253" width="11.44140625" style="221"/>
    <col min="254" max="254" width="41.5546875" style="221" customWidth="1"/>
    <col min="255" max="255" width="12.88671875" style="221" customWidth="1"/>
    <col min="256" max="260" width="34" style="221" customWidth="1"/>
    <col min="261" max="509" width="11.44140625" style="221"/>
    <col min="510" max="510" width="41.5546875" style="221" customWidth="1"/>
    <col min="511" max="511" width="12.88671875" style="221" customWidth="1"/>
    <col min="512" max="516" width="34" style="221" customWidth="1"/>
    <col min="517" max="765" width="11.44140625" style="221"/>
    <col min="766" max="766" width="41.5546875" style="221" customWidth="1"/>
    <col min="767" max="767" width="12.88671875" style="221" customWidth="1"/>
    <col min="768" max="772" width="34" style="221" customWidth="1"/>
    <col min="773" max="1021" width="11.44140625" style="221"/>
    <col min="1022" max="1022" width="41.5546875" style="221" customWidth="1"/>
    <col min="1023" max="1023" width="12.88671875" style="221" customWidth="1"/>
    <col min="1024" max="1028" width="34" style="221" customWidth="1"/>
    <col min="1029" max="1277" width="11.44140625" style="221"/>
    <col min="1278" max="1278" width="41.5546875" style="221" customWidth="1"/>
    <col min="1279" max="1279" width="12.88671875" style="221" customWidth="1"/>
    <col min="1280" max="1284" width="34" style="221" customWidth="1"/>
    <col min="1285" max="1533" width="11.44140625" style="221"/>
    <col min="1534" max="1534" width="41.5546875" style="221" customWidth="1"/>
    <col min="1535" max="1535" width="12.88671875" style="221" customWidth="1"/>
    <col min="1536" max="1540" width="34" style="221" customWidth="1"/>
    <col min="1541" max="1789" width="11.44140625" style="221"/>
    <col min="1790" max="1790" width="41.5546875" style="221" customWidth="1"/>
    <col min="1791" max="1791" width="12.88671875" style="221" customWidth="1"/>
    <col min="1792" max="1796" width="34" style="221" customWidth="1"/>
    <col min="1797" max="2045" width="11.44140625" style="221"/>
    <col min="2046" max="2046" width="41.5546875" style="221" customWidth="1"/>
    <col min="2047" max="2047" width="12.88671875" style="221" customWidth="1"/>
    <col min="2048" max="2052" width="34" style="221" customWidth="1"/>
    <col min="2053" max="2301" width="11.44140625" style="221"/>
    <col min="2302" max="2302" width="41.5546875" style="221" customWidth="1"/>
    <col min="2303" max="2303" width="12.88671875" style="221" customWidth="1"/>
    <col min="2304" max="2308" width="34" style="221" customWidth="1"/>
    <col min="2309" max="2557" width="11.44140625" style="221"/>
    <col min="2558" max="2558" width="41.5546875" style="221" customWidth="1"/>
    <col min="2559" max="2559" width="12.88671875" style="221" customWidth="1"/>
    <col min="2560" max="2564" width="34" style="221" customWidth="1"/>
    <col min="2565" max="2813" width="11.44140625" style="221"/>
    <col min="2814" max="2814" width="41.5546875" style="221" customWidth="1"/>
    <col min="2815" max="2815" width="12.88671875" style="221" customWidth="1"/>
    <col min="2816" max="2820" width="34" style="221" customWidth="1"/>
    <col min="2821" max="3069" width="11.44140625" style="221"/>
    <col min="3070" max="3070" width="41.5546875" style="221" customWidth="1"/>
    <col min="3071" max="3071" width="12.88671875" style="221" customWidth="1"/>
    <col min="3072" max="3076" width="34" style="221" customWidth="1"/>
    <col min="3077" max="3325" width="11.44140625" style="221"/>
    <col min="3326" max="3326" width="41.5546875" style="221" customWidth="1"/>
    <col min="3327" max="3327" width="12.88671875" style="221" customWidth="1"/>
    <col min="3328" max="3332" width="34" style="221" customWidth="1"/>
    <col min="3333" max="3581" width="11.44140625" style="221"/>
    <col min="3582" max="3582" width="41.5546875" style="221" customWidth="1"/>
    <col min="3583" max="3583" width="12.88671875" style="221" customWidth="1"/>
    <col min="3584" max="3588" width="34" style="221" customWidth="1"/>
    <col min="3589" max="3837" width="11.44140625" style="221"/>
    <col min="3838" max="3838" width="41.5546875" style="221" customWidth="1"/>
    <col min="3839" max="3839" width="12.88671875" style="221" customWidth="1"/>
    <col min="3840" max="3844" width="34" style="221" customWidth="1"/>
    <col min="3845" max="4093" width="11.44140625" style="221"/>
    <col min="4094" max="4094" width="41.5546875" style="221" customWidth="1"/>
    <col min="4095" max="4095" width="12.88671875" style="221" customWidth="1"/>
    <col min="4096" max="4100" width="34" style="221" customWidth="1"/>
    <col min="4101" max="4349" width="11.44140625" style="221"/>
    <col min="4350" max="4350" width="41.5546875" style="221" customWidth="1"/>
    <col min="4351" max="4351" width="12.88671875" style="221" customWidth="1"/>
    <col min="4352" max="4356" width="34" style="221" customWidth="1"/>
    <col min="4357" max="4605" width="11.44140625" style="221"/>
    <col min="4606" max="4606" width="41.5546875" style="221" customWidth="1"/>
    <col min="4607" max="4607" width="12.88671875" style="221" customWidth="1"/>
    <col min="4608" max="4612" width="34" style="221" customWidth="1"/>
    <col min="4613" max="4861" width="11.44140625" style="221"/>
    <col min="4862" max="4862" width="41.5546875" style="221" customWidth="1"/>
    <col min="4863" max="4863" width="12.88671875" style="221" customWidth="1"/>
    <col min="4864" max="4868" width="34" style="221" customWidth="1"/>
    <col min="4869" max="5117" width="11.44140625" style="221"/>
    <col min="5118" max="5118" width="41.5546875" style="221" customWidth="1"/>
    <col min="5119" max="5119" width="12.88671875" style="221" customWidth="1"/>
    <col min="5120" max="5124" width="34" style="221" customWidth="1"/>
    <col min="5125" max="5373" width="11.44140625" style="221"/>
    <col min="5374" max="5374" width="41.5546875" style="221" customWidth="1"/>
    <col min="5375" max="5375" width="12.88671875" style="221" customWidth="1"/>
    <col min="5376" max="5380" width="34" style="221" customWidth="1"/>
    <col min="5381" max="5629" width="11.44140625" style="221"/>
    <col min="5630" max="5630" width="41.5546875" style="221" customWidth="1"/>
    <col min="5631" max="5631" width="12.88671875" style="221" customWidth="1"/>
    <col min="5632" max="5636" width="34" style="221" customWidth="1"/>
    <col min="5637" max="5885" width="11.44140625" style="221"/>
    <col min="5886" max="5886" width="41.5546875" style="221" customWidth="1"/>
    <col min="5887" max="5887" width="12.88671875" style="221" customWidth="1"/>
    <col min="5888" max="5892" width="34" style="221" customWidth="1"/>
    <col min="5893" max="6141" width="11.44140625" style="221"/>
    <col min="6142" max="6142" width="41.5546875" style="221" customWidth="1"/>
    <col min="6143" max="6143" width="12.88671875" style="221" customWidth="1"/>
    <col min="6144" max="6148" width="34" style="221" customWidth="1"/>
    <col min="6149" max="6397" width="11.44140625" style="221"/>
    <col min="6398" max="6398" width="41.5546875" style="221" customWidth="1"/>
    <col min="6399" max="6399" width="12.88671875" style="221" customWidth="1"/>
    <col min="6400" max="6404" width="34" style="221" customWidth="1"/>
    <col min="6405" max="6653" width="11.44140625" style="221"/>
    <col min="6654" max="6654" width="41.5546875" style="221" customWidth="1"/>
    <col min="6655" max="6655" width="12.88671875" style="221" customWidth="1"/>
    <col min="6656" max="6660" width="34" style="221" customWidth="1"/>
    <col min="6661" max="6909" width="11.44140625" style="221"/>
    <col min="6910" max="6910" width="41.5546875" style="221" customWidth="1"/>
    <col min="6911" max="6911" width="12.88671875" style="221" customWidth="1"/>
    <col min="6912" max="6916" width="34" style="221" customWidth="1"/>
    <col min="6917" max="7165" width="11.44140625" style="221"/>
    <col min="7166" max="7166" width="41.5546875" style="221" customWidth="1"/>
    <col min="7167" max="7167" width="12.88671875" style="221" customWidth="1"/>
    <col min="7168" max="7172" width="34" style="221" customWidth="1"/>
    <col min="7173" max="7421" width="11.44140625" style="221"/>
    <col min="7422" max="7422" width="41.5546875" style="221" customWidth="1"/>
    <col min="7423" max="7423" width="12.88671875" style="221" customWidth="1"/>
    <col min="7424" max="7428" width="34" style="221" customWidth="1"/>
    <col min="7429" max="7677" width="11.44140625" style="221"/>
    <col min="7678" max="7678" width="41.5546875" style="221" customWidth="1"/>
    <col min="7679" max="7679" width="12.88671875" style="221" customWidth="1"/>
    <col min="7680" max="7684" width="34" style="221" customWidth="1"/>
    <col min="7685" max="7933" width="11.44140625" style="221"/>
    <col min="7934" max="7934" width="41.5546875" style="221" customWidth="1"/>
    <col min="7935" max="7935" width="12.88671875" style="221" customWidth="1"/>
    <col min="7936" max="7940" width="34" style="221" customWidth="1"/>
    <col min="7941" max="8189" width="11.44140625" style="221"/>
    <col min="8190" max="8190" width="41.5546875" style="221" customWidth="1"/>
    <col min="8191" max="8191" width="12.88671875" style="221" customWidth="1"/>
    <col min="8192" max="8196" width="34" style="221" customWidth="1"/>
    <col min="8197" max="8445" width="11.44140625" style="221"/>
    <col min="8446" max="8446" width="41.5546875" style="221" customWidth="1"/>
    <col min="8447" max="8447" width="12.88671875" style="221" customWidth="1"/>
    <col min="8448" max="8452" width="34" style="221" customWidth="1"/>
    <col min="8453" max="8701" width="11.44140625" style="221"/>
    <col min="8702" max="8702" width="41.5546875" style="221" customWidth="1"/>
    <col min="8703" max="8703" width="12.88671875" style="221" customWidth="1"/>
    <col min="8704" max="8708" width="34" style="221" customWidth="1"/>
    <col min="8709" max="8957" width="11.44140625" style="221"/>
    <col min="8958" max="8958" width="41.5546875" style="221" customWidth="1"/>
    <col min="8959" max="8959" width="12.88671875" style="221" customWidth="1"/>
    <col min="8960" max="8964" width="34" style="221" customWidth="1"/>
    <col min="8965" max="9213" width="11.44140625" style="221"/>
    <col min="9214" max="9214" width="41.5546875" style="221" customWidth="1"/>
    <col min="9215" max="9215" width="12.88671875" style="221" customWidth="1"/>
    <col min="9216" max="9220" width="34" style="221" customWidth="1"/>
    <col min="9221" max="9469" width="11.44140625" style="221"/>
    <col min="9470" max="9470" width="41.5546875" style="221" customWidth="1"/>
    <col min="9471" max="9471" width="12.88671875" style="221" customWidth="1"/>
    <col min="9472" max="9476" width="34" style="221" customWidth="1"/>
    <col min="9477" max="9725" width="11.44140625" style="221"/>
    <col min="9726" max="9726" width="41.5546875" style="221" customWidth="1"/>
    <col min="9727" max="9727" width="12.88671875" style="221" customWidth="1"/>
    <col min="9728" max="9732" width="34" style="221" customWidth="1"/>
    <col min="9733" max="9981" width="11.44140625" style="221"/>
    <col min="9982" max="9982" width="41.5546875" style="221" customWidth="1"/>
    <col min="9983" max="9983" width="12.88671875" style="221" customWidth="1"/>
    <col min="9984" max="9988" width="34" style="221" customWidth="1"/>
    <col min="9989" max="10237" width="11.44140625" style="221"/>
    <col min="10238" max="10238" width="41.5546875" style="221" customWidth="1"/>
    <col min="10239" max="10239" width="12.88671875" style="221" customWidth="1"/>
    <col min="10240" max="10244" width="34" style="221" customWidth="1"/>
    <col min="10245" max="10493" width="11.44140625" style="221"/>
    <col min="10494" max="10494" width="41.5546875" style="221" customWidth="1"/>
    <col min="10495" max="10495" width="12.88671875" style="221" customWidth="1"/>
    <col min="10496" max="10500" width="34" style="221" customWidth="1"/>
    <col min="10501" max="10749" width="11.44140625" style="221"/>
    <col min="10750" max="10750" width="41.5546875" style="221" customWidth="1"/>
    <col min="10751" max="10751" width="12.88671875" style="221" customWidth="1"/>
    <col min="10752" max="10756" width="34" style="221" customWidth="1"/>
    <col min="10757" max="11005" width="11.44140625" style="221"/>
    <col min="11006" max="11006" width="41.5546875" style="221" customWidth="1"/>
    <col min="11007" max="11007" width="12.88671875" style="221" customWidth="1"/>
    <col min="11008" max="11012" width="34" style="221" customWidth="1"/>
    <col min="11013" max="11261" width="11.44140625" style="221"/>
    <col min="11262" max="11262" width="41.5546875" style="221" customWidth="1"/>
    <col min="11263" max="11263" width="12.88671875" style="221" customWidth="1"/>
    <col min="11264" max="11268" width="34" style="221" customWidth="1"/>
    <col min="11269" max="11517" width="11.44140625" style="221"/>
    <col min="11518" max="11518" width="41.5546875" style="221" customWidth="1"/>
    <col min="11519" max="11519" width="12.88671875" style="221" customWidth="1"/>
    <col min="11520" max="11524" width="34" style="221" customWidth="1"/>
    <col min="11525" max="11773" width="11.44140625" style="221"/>
    <col min="11774" max="11774" width="41.5546875" style="221" customWidth="1"/>
    <col min="11775" max="11775" width="12.88671875" style="221" customWidth="1"/>
    <col min="11776" max="11780" width="34" style="221" customWidth="1"/>
    <col min="11781" max="12029" width="11.44140625" style="221"/>
    <col min="12030" max="12030" width="41.5546875" style="221" customWidth="1"/>
    <col min="12031" max="12031" width="12.88671875" style="221" customWidth="1"/>
    <col min="12032" max="12036" width="34" style="221" customWidth="1"/>
    <col min="12037" max="12285" width="11.44140625" style="221"/>
    <col min="12286" max="12286" width="41.5546875" style="221" customWidth="1"/>
    <col min="12287" max="12287" width="12.88671875" style="221" customWidth="1"/>
    <col min="12288" max="12292" width="34" style="221" customWidth="1"/>
    <col min="12293" max="12541" width="11.44140625" style="221"/>
    <col min="12542" max="12542" width="41.5546875" style="221" customWidth="1"/>
    <col min="12543" max="12543" width="12.88671875" style="221" customWidth="1"/>
    <col min="12544" max="12548" width="34" style="221" customWidth="1"/>
    <col min="12549" max="12797" width="11.44140625" style="221"/>
    <col min="12798" max="12798" width="41.5546875" style="221" customWidth="1"/>
    <col min="12799" max="12799" width="12.88671875" style="221" customWidth="1"/>
    <col min="12800" max="12804" width="34" style="221" customWidth="1"/>
    <col min="12805" max="13053" width="11.44140625" style="221"/>
    <col min="13054" max="13054" width="41.5546875" style="221" customWidth="1"/>
    <col min="13055" max="13055" width="12.88671875" style="221" customWidth="1"/>
    <col min="13056" max="13060" width="34" style="221" customWidth="1"/>
    <col min="13061" max="13309" width="11.44140625" style="221"/>
    <col min="13310" max="13310" width="41.5546875" style="221" customWidth="1"/>
    <col min="13311" max="13311" width="12.88671875" style="221" customWidth="1"/>
    <col min="13312" max="13316" width="34" style="221" customWidth="1"/>
    <col min="13317" max="13565" width="11.44140625" style="221"/>
    <col min="13566" max="13566" width="41.5546875" style="221" customWidth="1"/>
    <col min="13567" max="13567" width="12.88671875" style="221" customWidth="1"/>
    <col min="13568" max="13572" width="34" style="221" customWidth="1"/>
    <col min="13573" max="13821" width="11.44140625" style="221"/>
    <col min="13822" max="13822" width="41.5546875" style="221" customWidth="1"/>
    <col min="13823" max="13823" width="12.88671875" style="221" customWidth="1"/>
    <col min="13824" max="13828" width="34" style="221" customWidth="1"/>
    <col min="13829" max="14077" width="11.44140625" style="221"/>
    <col min="14078" max="14078" width="41.5546875" style="221" customWidth="1"/>
    <col min="14079" max="14079" width="12.88671875" style="221" customWidth="1"/>
    <col min="14080" max="14084" width="34" style="221" customWidth="1"/>
    <col min="14085" max="14333" width="11.44140625" style="221"/>
    <col min="14334" max="14334" width="41.5546875" style="221" customWidth="1"/>
    <col min="14335" max="14335" width="12.88671875" style="221" customWidth="1"/>
    <col min="14336" max="14340" width="34" style="221" customWidth="1"/>
    <col min="14341" max="14589" width="11.44140625" style="221"/>
    <col min="14590" max="14590" width="41.5546875" style="221" customWidth="1"/>
    <col min="14591" max="14591" width="12.88671875" style="221" customWidth="1"/>
    <col min="14592" max="14596" width="34" style="221" customWidth="1"/>
    <col min="14597" max="14845" width="11.44140625" style="221"/>
    <col min="14846" max="14846" width="41.5546875" style="221" customWidth="1"/>
    <col min="14847" max="14847" width="12.88671875" style="221" customWidth="1"/>
    <col min="14848" max="14852" width="34" style="221" customWidth="1"/>
    <col min="14853" max="15101" width="11.44140625" style="221"/>
    <col min="15102" max="15102" width="41.5546875" style="221" customWidth="1"/>
    <col min="15103" max="15103" width="12.88671875" style="221" customWidth="1"/>
    <col min="15104" max="15108" width="34" style="221" customWidth="1"/>
    <col min="15109" max="15357" width="11.44140625" style="221"/>
    <col min="15358" max="15358" width="41.5546875" style="221" customWidth="1"/>
    <col min="15359" max="15359" width="12.88671875" style="221" customWidth="1"/>
    <col min="15360" max="15364" width="34" style="221" customWidth="1"/>
    <col min="15365" max="15613" width="11.44140625" style="221"/>
    <col min="15614" max="15614" width="41.5546875" style="221" customWidth="1"/>
    <col min="15615" max="15615" width="12.88671875" style="221" customWidth="1"/>
    <col min="15616" max="15620" width="34" style="221" customWidth="1"/>
    <col min="15621" max="15869" width="11.44140625" style="221"/>
    <col min="15870" max="15870" width="41.5546875" style="221" customWidth="1"/>
    <col min="15871" max="15871" width="12.88671875" style="221" customWidth="1"/>
    <col min="15872" max="15876" width="34" style="221" customWidth="1"/>
    <col min="15877" max="16125" width="11.44140625" style="221"/>
    <col min="16126" max="16126" width="41.5546875" style="221" customWidth="1"/>
    <col min="16127" max="16127" width="12.88671875" style="221" customWidth="1"/>
    <col min="16128" max="16132" width="34" style="221" customWidth="1"/>
    <col min="16133" max="16384" width="11.44140625" style="221"/>
  </cols>
  <sheetData>
    <row r="1" spans="1:24" x14ac:dyDescent="0.3">
      <c r="A1" s="215" t="str">
        <f ca="1">OFFSET($C1,0,$B$4-1)</f>
        <v>Français</v>
      </c>
      <c r="B1" s="216"/>
      <c r="C1" s="217" t="s">
        <v>138</v>
      </c>
      <c r="D1" s="217" t="s">
        <v>145</v>
      </c>
      <c r="E1" s="217" t="s">
        <v>441</v>
      </c>
      <c r="F1" s="218" t="s">
        <v>440</v>
      </c>
      <c r="X1" s="213"/>
    </row>
    <row r="2" spans="1:24" x14ac:dyDescent="0.3">
      <c r="A2" s="222" t="s">
        <v>139</v>
      </c>
      <c r="B2" s="223"/>
      <c r="C2" s="224" t="s">
        <v>140</v>
      </c>
      <c r="D2" s="224" t="s">
        <v>141</v>
      </c>
      <c r="E2" s="224" t="s">
        <v>142</v>
      </c>
      <c r="F2" s="225" t="s">
        <v>143</v>
      </c>
    </row>
    <row r="3" spans="1:24" x14ac:dyDescent="0.3">
      <c r="A3" s="222" t="s">
        <v>144</v>
      </c>
      <c r="B3" s="151"/>
      <c r="C3" s="226" t="s">
        <v>138</v>
      </c>
      <c r="D3" s="226" t="s">
        <v>145</v>
      </c>
      <c r="E3" s="226" t="s">
        <v>441</v>
      </c>
      <c r="F3" s="227" t="s">
        <v>440</v>
      </c>
    </row>
    <row r="4" spans="1:24" ht="16.2" customHeight="1" x14ac:dyDescent="0.3">
      <c r="A4" s="228"/>
      <c r="B4" s="214">
        <v>2</v>
      </c>
      <c r="C4" s="229"/>
      <c r="D4" s="229"/>
      <c r="E4" s="229"/>
      <c r="F4" s="230"/>
      <c r="W4" s="220">
        <v>69763</v>
      </c>
    </row>
    <row r="5" spans="1:24" s="237" customFormat="1" ht="26.4" x14ac:dyDescent="0.3">
      <c r="A5" s="231" t="str">
        <f t="shared" ref="A5:A74" ca="1" si="0">OFFSET($C5,0,$B$4-1)</f>
        <v>G E S T I O N  D E  P R O J E T S</v>
      </c>
      <c r="B5" s="232"/>
      <c r="C5" s="233" t="s">
        <v>439</v>
      </c>
      <c r="D5" s="233" t="s">
        <v>1088</v>
      </c>
      <c r="E5" s="233" t="s">
        <v>903</v>
      </c>
      <c r="F5" s="234" t="s">
        <v>523</v>
      </c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  <c r="V5" s="235"/>
      <c r="W5" s="236">
        <f>B4</f>
        <v>2</v>
      </c>
    </row>
    <row r="6" spans="1:24" s="237" customFormat="1" ht="28.8" x14ac:dyDescent="0.3">
      <c r="A6" s="238" t="str">
        <f t="shared" ca="1" si="0"/>
        <v>Afficher un avertissement si la protection est désactivée ?</v>
      </c>
      <c r="B6" s="239"/>
      <c r="C6" s="240" t="s">
        <v>2283</v>
      </c>
      <c r="D6" s="240" t="s">
        <v>2284</v>
      </c>
      <c r="E6" s="240" t="s">
        <v>2285</v>
      </c>
      <c r="F6" s="240" t="s">
        <v>2286</v>
      </c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6"/>
    </row>
    <row r="7" spans="1:24" x14ac:dyDescent="0.3">
      <c r="A7" s="238" t="str">
        <f t="shared" ca="1" si="0"/>
        <v>Initialisation</v>
      </c>
      <c r="B7" s="239"/>
      <c r="C7" s="241" t="s">
        <v>225</v>
      </c>
      <c r="D7" s="241" t="s">
        <v>152</v>
      </c>
      <c r="E7" s="241" t="s">
        <v>152</v>
      </c>
      <c r="F7" s="242" t="s">
        <v>551</v>
      </c>
    </row>
    <row r="8" spans="1:24" x14ac:dyDescent="0.3">
      <c r="A8" s="243" t="str">
        <f t="shared" ca="1" si="0"/>
        <v>Planification</v>
      </c>
      <c r="B8" s="239"/>
      <c r="C8" s="244" t="s">
        <v>148</v>
      </c>
      <c r="D8" s="244" t="s">
        <v>153</v>
      </c>
      <c r="E8" s="244" t="s">
        <v>717</v>
      </c>
      <c r="F8" s="218" t="s">
        <v>552</v>
      </c>
      <c r="W8" s="220" t="s">
        <v>138</v>
      </c>
    </row>
    <row r="9" spans="1:24" x14ac:dyDescent="0.3">
      <c r="A9" s="243" t="str">
        <f t="shared" ca="1" si="0"/>
        <v>Décision</v>
      </c>
      <c r="B9" s="239"/>
      <c r="C9" s="244" t="s">
        <v>1716</v>
      </c>
      <c r="D9" s="244" t="s">
        <v>1717</v>
      </c>
      <c r="E9" s="244" t="s">
        <v>1718</v>
      </c>
      <c r="F9" s="218" t="s">
        <v>1719</v>
      </c>
      <c r="W9" s="220" t="s">
        <v>145</v>
      </c>
    </row>
    <row r="10" spans="1:24" x14ac:dyDescent="0.3">
      <c r="A10" s="243" t="str">
        <f t="shared" ca="1" si="0"/>
        <v>Réalisation</v>
      </c>
      <c r="B10" s="239"/>
      <c r="C10" s="244" t="s">
        <v>150</v>
      </c>
      <c r="D10" s="244" t="s">
        <v>154</v>
      </c>
      <c r="E10" s="244" t="s">
        <v>718</v>
      </c>
      <c r="F10" s="218" t="s">
        <v>553</v>
      </c>
      <c r="W10" s="220" t="s">
        <v>441</v>
      </c>
    </row>
    <row r="11" spans="1:24" x14ac:dyDescent="0.3">
      <c r="A11" s="243" t="str">
        <f t="shared" ca="1" si="0"/>
        <v>Finalisation</v>
      </c>
      <c r="B11" s="239"/>
      <c r="C11" s="244" t="s">
        <v>151</v>
      </c>
      <c r="D11" s="244" t="s">
        <v>155</v>
      </c>
      <c r="E11" s="244" t="s">
        <v>719</v>
      </c>
      <c r="F11" s="218" t="s">
        <v>554</v>
      </c>
      <c r="W11" s="220" t="s">
        <v>440</v>
      </c>
    </row>
    <row r="12" spans="1:24" x14ac:dyDescent="0.3">
      <c r="A12" s="243" t="str">
        <f t="shared" ca="1" si="0"/>
        <v>Roadmap</v>
      </c>
      <c r="B12" s="239"/>
      <c r="C12" s="244" t="s">
        <v>2166</v>
      </c>
      <c r="D12" s="244" t="s">
        <v>2166</v>
      </c>
      <c r="E12" s="244" t="s">
        <v>2166</v>
      </c>
      <c r="F12" s="218" t="s">
        <v>2166</v>
      </c>
    </row>
    <row r="13" spans="1:24" x14ac:dyDescent="0.3">
      <c r="A13" s="243" t="str">
        <f t="shared" ca="1" si="0"/>
        <v>Gantt</v>
      </c>
      <c r="B13" s="239"/>
      <c r="C13" s="244" t="s">
        <v>944</v>
      </c>
      <c r="D13" s="244" t="s">
        <v>944</v>
      </c>
      <c r="E13" s="244" t="s">
        <v>944</v>
      </c>
      <c r="F13" s="218" t="s">
        <v>944</v>
      </c>
    </row>
    <row r="14" spans="1:24" x14ac:dyDescent="0.3">
      <c r="A14" s="243" t="str">
        <f t="shared" ca="1" si="0"/>
        <v>Analyse du problème</v>
      </c>
      <c r="B14" s="239"/>
      <c r="C14" s="244" t="s">
        <v>37</v>
      </c>
      <c r="D14" s="244" t="s">
        <v>91</v>
      </c>
      <c r="E14" s="244" t="s">
        <v>720</v>
      </c>
      <c r="F14" s="218" t="s">
        <v>555</v>
      </c>
    </row>
    <row r="15" spans="1:24" x14ac:dyDescent="0.3">
      <c r="A15" s="243" t="str">
        <f t="shared" ca="1" si="0"/>
        <v>Analyse SWOT</v>
      </c>
      <c r="B15" s="239"/>
      <c r="C15" s="244" t="s">
        <v>952</v>
      </c>
      <c r="D15" s="244" t="s">
        <v>92</v>
      </c>
      <c r="E15" s="244" t="s">
        <v>721</v>
      </c>
      <c r="F15" s="218" t="s">
        <v>935</v>
      </c>
    </row>
    <row r="16" spans="1:24" x14ac:dyDescent="0.3">
      <c r="A16" s="243" t="str">
        <f t="shared" ca="1" si="0"/>
        <v>Budget</v>
      </c>
      <c r="B16" s="239"/>
      <c r="C16" s="244" t="s">
        <v>30</v>
      </c>
      <c r="D16" s="244" t="s">
        <v>30</v>
      </c>
      <c r="E16" s="244" t="s">
        <v>30</v>
      </c>
      <c r="F16" s="218" t="s">
        <v>30</v>
      </c>
    </row>
    <row r="17" spans="1:6" x14ac:dyDescent="0.3">
      <c r="A17" s="243" t="str">
        <f t="shared" ca="1" si="0"/>
        <v>Mandat de projet</v>
      </c>
      <c r="B17" s="239"/>
      <c r="C17" s="244" t="s">
        <v>73</v>
      </c>
      <c r="D17" s="244" t="s">
        <v>180</v>
      </c>
      <c r="E17" s="244" t="s">
        <v>722</v>
      </c>
      <c r="F17" s="218" t="s">
        <v>556</v>
      </c>
    </row>
    <row r="18" spans="1:6" x14ac:dyDescent="0.3">
      <c r="A18" s="243" t="str">
        <f t="shared" ca="1" si="0"/>
        <v>Go/NoGo</v>
      </c>
      <c r="B18" s="239"/>
      <c r="C18" s="244" t="s">
        <v>40</v>
      </c>
      <c r="D18" s="244" t="s">
        <v>40</v>
      </c>
      <c r="E18" s="244" t="s">
        <v>40</v>
      </c>
      <c r="F18" s="218" t="s">
        <v>40</v>
      </c>
    </row>
    <row r="19" spans="1:6" x14ac:dyDescent="0.3">
      <c r="A19" s="243" t="str">
        <f t="shared" ca="1" si="0"/>
        <v>Equipe de projet</v>
      </c>
      <c r="B19" s="239"/>
      <c r="C19" s="244" t="s">
        <v>39</v>
      </c>
      <c r="D19" s="244" t="s">
        <v>181</v>
      </c>
      <c r="E19" s="244" t="s">
        <v>723</v>
      </c>
      <c r="F19" s="218" t="s">
        <v>557</v>
      </c>
    </row>
    <row r="20" spans="1:6" x14ac:dyDescent="0.3">
      <c r="A20" s="243" t="str">
        <f t="shared" ca="1" si="0"/>
        <v>Planification sommaire</v>
      </c>
      <c r="B20" s="239"/>
      <c r="C20" s="244" t="s">
        <v>38</v>
      </c>
      <c r="D20" s="244" t="s">
        <v>93</v>
      </c>
      <c r="E20" s="244" t="s">
        <v>724</v>
      </c>
      <c r="F20" s="218" t="s">
        <v>558</v>
      </c>
    </row>
    <row r="21" spans="1:6" x14ac:dyDescent="0.3">
      <c r="A21" s="243" t="str">
        <f t="shared" ca="1" si="0"/>
        <v>Faisabilité</v>
      </c>
      <c r="B21" s="239"/>
      <c r="C21" s="244" t="s">
        <v>936</v>
      </c>
      <c r="D21" s="244" t="s">
        <v>937</v>
      </c>
      <c r="E21" s="244" t="s">
        <v>938</v>
      </c>
      <c r="F21" s="218" t="s">
        <v>939</v>
      </c>
    </row>
    <row r="22" spans="1:6" x14ac:dyDescent="0.3">
      <c r="A22" s="243" t="str">
        <f t="shared" ca="1" si="0"/>
        <v>Communication</v>
      </c>
      <c r="B22" s="239"/>
      <c r="C22" s="244" t="s">
        <v>1073</v>
      </c>
      <c r="D22" s="244" t="s">
        <v>1074</v>
      </c>
      <c r="E22" s="244" t="s">
        <v>1075</v>
      </c>
      <c r="F22" s="218" t="s">
        <v>940</v>
      </c>
    </row>
    <row r="23" spans="1:6" x14ac:dyDescent="0.3">
      <c r="A23" s="243" t="str">
        <f t="shared" ca="1" si="0"/>
        <v>Définir les sous-projets</v>
      </c>
      <c r="B23" s="239"/>
      <c r="C23" s="244" t="s">
        <v>41</v>
      </c>
      <c r="D23" s="244" t="s">
        <v>94</v>
      </c>
      <c r="E23" s="244" t="s">
        <v>725</v>
      </c>
      <c r="F23" s="218" t="s">
        <v>559</v>
      </c>
    </row>
    <row r="24" spans="1:6" x14ac:dyDescent="0.3">
      <c r="A24" s="243" t="str">
        <f t="shared" ca="1" si="0"/>
        <v>Définir les responsabilités</v>
      </c>
      <c r="B24" s="239"/>
      <c r="C24" s="244" t="s">
        <v>42</v>
      </c>
      <c r="D24" s="244" t="s">
        <v>182</v>
      </c>
      <c r="E24" s="244" t="s">
        <v>726</v>
      </c>
      <c r="F24" s="218" t="s">
        <v>560</v>
      </c>
    </row>
    <row r="25" spans="1:6" x14ac:dyDescent="0.3">
      <c r="A25" s="243" t="str">
        <f t="shared" ca="1" si="0"/>
        <v>Définition des interfaces</v>
      </c>
      <c r="B25" s="239"/>
      <c r="C25" s="244" t="s">
        <v>43</v>
      </c>
      <c r="D25" s="244" t="s">
        <v>95</v>
      </c>
      <c r="E25" s="244" t="s">
        <v>727</v>
      </c>
      <c r="F25" s="218" t="s">
        <v>561</v>
      </c>
    </row>
    <row r="26" spans="1:6" x14ac:dyDescent="0.3">
      <c r="A26" s="243" t="str">
        <f t="shared" ca="1" si="0"/>
        <v>Définition des travaux</v>
      </c>
      <c r="B26" s="239"/>
      <c r="C26" s="244" t="s">
        <v>44</v>
      </c>
      <c r="D26" s="244" t="s">
        <v>96</v>
      </c>
      <c r="E26" s="244" t="s">
        <v>728</v>
      </c>
      <c r="F26" s="218" t="s">
        <v>562</v>
      </c>
    </row>
    <row r="27" spans="1:6" x14ac:dyDescent="0.3">
      <c r="A27" s="243" t="str">
        <f t="shared" ca="1" si="0"/>
        <v>Risques</v>
      </c>
      <c r="B27" s="239"/>
      <c r="C27" s="244" t="s">
        <v>950</v>
      </c>
      <c r="D27" s="244" t="s">
        <v>948</v>
      </c>
      <c r="E27" s="244" t="s">
        <v>951</v>
      </c>
      <c r="F27" s="218" t="s">
        <v>949</v>
      </c>
    </row>
    <row r="28" spans="1:6" x14ac:dyDescent="0.3">
      <c r="A28" s="243" t="str">
        <f t="shared" ca="1" si="0"/>
        <v>Planification détaillée</v>
      </c>
      <c r="B28" s="239"/>
      <c r="C28" s="244" t="s">
        <v>26</v>
      </c>
      <c r="D28" s="244" t="s">
        <v>113</v>
      </c>
      <c r="E28" s="244" t="s">
        <v>729</v>
      </c>
      <c r="F28" s="218" t="s">
        <v>563</v>
      </c>
    </row>
    <row r="29" spans="1:6" x14ac:dyDescent="0.3">
      <c r="A29" s="243" t="str">
        <f t="shared" ca="1" si="0"/>
        <v>Go/NoGo</v>
      </c>
      <c r="B29" s="239"/>
      <c r="C29" s="244" t="s">
        <v>40</v>
      </c>
      <c r="D29" s="244" t="s">
        <v>40</v>
      </c>
      <c r="E29" s="244" t="s">
        <v>40</v>
      </c>
      <c r="F29" s="218" t="s">
        <v>40</v>
      </c>
    </row>
    <row r="30" spans="1:6" x14ac:dyDescent="0.3">
      <c r="A30" s="243" t="str">
        <f t="shared" ca="1" si="0"/>
        <v>Concept sommaire</v>
      </c>
      <c r="B30" s="239"/>
      <c r="C30" s="244" t="s">
        <v>74</v>
      </c>
      <c r="D30" s="244" t="s">
        <v>97</v>
      </c>
      <c r="E30" s="244" t="s">
        <v>730</v>
      </c>
      <c r="F30" s="218" t="s">
        <v>564</v>
      </c>
    </row>
    <row r="31" spans="1:6" x14ac:dyDescent="0.3">
      <c r="A31" s="243" t="str">
        <f t="shared" ca="1" si="0"/>
        <v>Go/NoGo concept sommaire</v>
      </c>
      <c r="B31" s="239"/>
      <c r="C31" s="244" t="s">
        <v>53</v>
      </c>
      <c r="D31" s="244" t="s">
        <v>223</v>
      </c>
      <c r="E31" s="244" t="s">
        <v>731</v>
      </c>
      <c r="F31" s="218" t="s">
        <v>565</v>
      </c>
    </row>
    <row r="32" spans="1:6" x14ac:dyDescent="0.3">
      <c r="A32" s="243" t="str">
        <f t="shared" ca="1" si="0"/>
        <v>Concept détaillé</v>
      </c>
      <c r="B32" s="239"/>
      <c r="C32" s="244" t="s">
        <v>75</v>
      </c>
      <c r="D32" s="244" t="s">
        <v>98</v>
      </c>
      <c r="E32" s="244" t="s">
        <v>732</v>
      </c>
      <c r="F32" s="218" t="s">
        <v>566</v>
      </c>
    </row>
    <row r="33" spans="1:6" x14ac:dyDescent="0.3">
      <c r="A33" s="243" t="str">
        <f t="shared" ca="1" si="0"/>
        <v>Go/NoGo</v>
      </c>
      <c r="B33" s="239"/>
      <c r="C33" s="244" t="s">
        <v>40</v>
      </c>
      <c r="D33" s="244" t="s">
        <v>40</v>
      </c>
      <c r="E33" s="244" t="s">
        <v>40</v>
      </c>
      <c r="F33" s="218" t="s">
        <v>40</v>
      </c>
    </row>
    <row r="34" spans="1:6" x14ac:dyDescent="0.3">
      <c r="A34" s="243" t="str">
        <f t="shared" ca="1" si="0"/>
        <v>Mettre en œuvre le concept détaillé</v>
      </c>
      <c r="B34" s="239"/>
      <c r="C34" s="244" t="s">
        <v>45</v>
      </c>
      <c r="D34" s="244" t="s">
        <v>514</v>
      </c>
      <c r="E34" s="244" t="s">
        <v>733</v>
      </c>
      <c r="F34" s="218" t="s">
        <v>567</v>
      </c>
    </row>
    <row r="35" spans="1:6" x14ac:dyDescent="0.3">
      <c r="A35" s="243" t="str">
        <f t="shared" ca="1" si="0"/>
        <v>Suivi du projet</v>
      </c>
      <c r="B35" s="239"/>
      <c r="C35" s="244" t="s">
        <v>46</v>
      </c>
      <c r="D35" s="244" t="s">
        <v>183</v>
      </c>
      <c r="E35" s="244" t="s">
        <v>734</v>
      </c>
      <c r="F35" s="218" t="s">
        <v>568</v>
      </c>
    </row>
    <row r="36" spans="1:6" x14ac:dyDescent="0.3">
      <c r="A36" s="243" t="str">
        <f t="shared" ca="1" si="0"/>
        <v>Ass. résultats partiels</v>
      </c>
      <c r="B36" s="239"/>
      <c r="C36" s="244" t="s">
        <v>52</v>
      </c>
      <c r="D36" s="244" t="s">
        <v>99</v>
      </c>
      <c r="E36" s="244" t="s">
        <v>735</v>
      </c>
      <c r="F36" s="218" t="s">
        <v>569</v>
      </c>
    </row>
    <row r="37" spans="1:6" x14ac:dyDescent="0.3">
      <c r="A37" s="243" t="str">
        <f t="shared" ca="1" si="0"/>
        <v>Actualiser planification</v>
      </c>
      <c r="B37" s="239"/>
      <c r="C37" s="244" t="s">
        <v>47</v>
      </c>
      <c r="D37" s="244" t="s">
        <v>100</v>
      </c>
      <c r="E37" s="244" t="s">
        <v>736</v>
      </c>
      <c r="F37" s="218" t="s">
        <v>570</v>
      </c>
    </row>
    <row r="38" spans="1:6" x14ac:dyDescent="0.3">
      <c r="A38" s="243" t="str">
        <f t="shared" ca="1" si="0"/>
        <v>Informer le mandant</v>
      </c>
      <c r="B38" s="239"/>
      <c r="C38" s="244" t="s">
        <v>48</v>
      </c>
      <c r="D38" s="244" t="s">
        <v>101</v>
      </c>
      <c r="E38" s="244" t="s">
        <v>737</v>
      </c>
      <c r="F38" s="218" t="s">
        <v>571</v>
      </c>
    </row>
    <row r="39" spans="1:6" x14ac:dyDescent="0.3">
      <c r="A39" s="243" t="str">
        <f t="shared" ca="1" si="0"/>
        <v>Suivi du projet</v>
      </c>
      <c r="B39" s="239"/>
      <c r="C39" s="244" t="s">
        <v>2192</v>
      </c>
      <c r="D39" s="244" t="s">
        <v>183</v>
      </c>
      <c r="E39" s="244" t="s">
        <v>2192</v>
      </c>
      <c r="F39" s="218" t="s">
        <v>2191</v>
      </c>
    </row>
    <row r="40" spans="1:6" x14ac:dyDescent="0.3">
      <c r="A40" s="243" t="str">
        <f t="shared" ca="1" si="0"/>
        <v>Rapport final</v>
      </c>
      <c r="B40" s="239"/>
      <c r="C40" s="244" t="s">
        <v>49</v>
      </c>
      <c r="D40" s="244" t="s">
        <v>103</v>
      </c>
      <c r="E40" s="244" t="s">
        <v>738</v>
      </c>
      <c r="F40" s="218" t="s">
        <v>572</v>
      </c>
    </row>
    <row r="41" spans="1:6" x14ac:dyDescent="0.3">
      <c r="A41" s="243" t="str">
        <f t="shared" ca="1" si="0"/>
        <v>Clôture du projet</v>
      </c>
      <c r="B41" s="239"/>
      <c r="C41" s="244" t="s">
        <v>50</v>
      </c>
      <c r="D41" s="244" t="s">
        <v>184</v>
      </c>
      <c r="E41" s="244" t="s">
        <v>739</v>
      </c>
      <c r="F41" s="218" t="s">
        <v>573</v>
      </c>
    </row>
    <row r="42" spans="1:6" x14ac:dyDescent="0.3">
      <c r="A42" s="243" t="str">
        <f t="shared" ca="1" si="0"/>
        <v>Assurer les résultats</v>
      </c>
      <c r="B42" s="239"/>
      <c r="C42" s="244" t="s">
        <v>51</v>
      </c>
      <c r="D42" s="244" t="s">
        <v>102</v>
      </c>
      <c r="E42" s="244" t="s">
        <v>740</v>
      </c>
      <c r="F42" s="218" t="s">
        <v>574</v>
      </c>
    </row>
    <row r="43" spans="1:6" x14ac:dyDescent="0.3">
      <c r="A43" s="243" t="str">
        <f t="shared" ca="1" si="0"/>
        <v>Mandat</v>
      </c>
      <c r="B43" s="239"/>
      <c r="C43" s="244" t="s">
        <v>156</v>
      </c>
      <c r="D43" s="244" t="s">
        <v>158</v>
      </c>
      <c r="E43" s="244" t="s">
        <v>927</v>
      </c>
      <c r="F43" s="218" t="s">
        <v>575</v>
      </c>
    </row>
    <row r="44" spans="1:6" x14ac:dyDescent="0.3">
      <c r="A44" s="243" t="str">
        <f t="shared" ca="1" si="0"/>
        <v>Concept</v>
      </c>
      <c r="B44" s="239"/>
      <c r="C44" s="244" t="s">
        <v>149</v>
      </c>
      <c r="D44" s="244" t="s">
        <v>159</v>
      </c>
      <c r="E44" s="244" t="s">
        <v>159</v>
      </c>
      <c r="F44" s="218" t="s">
        <v>576</v>
      </c>
    </row>
    <row r="45" spans="1:6" x14ac:dyDescent="0.3">
      <c r="A45" s="243" t="str">
        <f t="shared" ca="1" si="0"/>
        <v>Suivi</v>
      </c>
      <c r="B45" s="239"/>
      <c r="C45" s="244" t="s">
        <v>2192</v>
      </c>
      <c r="D45" s="244" t="s">
        <v>2194</v>
      </c>
      <c r="E45" s="244" t="s">
        <v>2192</v>
      </c>
      <c r="F45" s="218" t="s">
        <v>2193</v>
      </c>
    </row>
    <row r="46" spans="1:6" x14ac:dyDescent="0.3">
      <c r="A46" s="243" t="str">
        <f t="shared" ca="1" si="0"/>
        <v>Rapport final</v>
      </c>
      <c r="B46" s="239"/>
      <c r="C46" s="244" t="s">
        <v>157</v>
      </c>
      <c r="D46" s="244" t="s">
        <v>103</v>
      </c>
      <c r="E46" s="244" t="s">
        <v>738</v>
      </c>
      <c r="F46" s="218" t="s">
        <v>572</v>
      </c>
    </row>
    <row r="47" spans="1:6" x14ac:dyDescent="0.3">
      <c r="A47" s="245" t="str">
        <f t="shared" ca="1" si="0"/>
        <v>Gantt</v>
      </c>
      <c r="B47" s="239"/>
      <c r="C47" s="246" t="s">
        <v>944</v>
      </c>
      <c r="D47" s="246" t="s">
        <v>944</v>
      </c>
      <c r="E47" s="246" t="s">
        <v>944</v>
      </c>
      <c r="F47" s="247" t="s">
        <v>944</v>
      </c>
    </row>
    <row r="48" spans="1:6" x14ac:dyDescent="0.3">
      <c r="A48" s="245" t="str">
        <f t="shared" ca="1" si="0"/>
        <v>Votre logo:</v>
      </c>
      <c r="B48" s="239"/>
      <c r="C48" s="246" t="s">
        <v>1318</v>
      </c>
      <c r="D48" s="246" t="s">
        <v>1319</v>
      </c>
      <c r="E48" s="246" t="s">
        <v>1320</v>
      </c>
      <c r="F48" s="247" t="s">
        <v>1321</v>
      </c>
    </row>
    <row r="49" spans="1:6" x14ac:dyDescent="0.3">
      <c r="A49" s="243" t="str">
        <f t="shared" ca="1" si="0"/>
        <v>Ress. externes</v>
      </c>
      <c r="B49" s="239"/>
      <c r="C49" s="244" t="s">
        <v>1485</v>
      </c>
      <c r="D49" s="244" t="s">
        <v>1486</v>
      </c>
      <c r="E49" s="244" t="s">
        <v>1487</v>
      </c>
      <c r="F49" s="218" t="s">
        <v>1510</v>
      </c>
    </row>
    <row r="50" spans="1:6" x14ac:dyDescent="0.3">
      <c r="A50" s="245" t="str">
        <f t="shared" ca="1" si="0"/>
        <v>Ress. internes</v>
      </c>
      <c r="B50" s="239"/>
      <c r="C50" s="246" t="s">
        <v>1488</v>
      </c>
      <c r="D50" s="246" t="s">
        <v>1489</v>
      </c>
      <c r="E50" s="246" t="s">
        <v>1490</v>
      </c>
      <c r="F50" s="247" t="s">
        <v>1491</v>
      </c>
    </row>
    <row r="51" spans="1:6" x14ac:dyDescent="0.3">
      <c r="A51" s="243" t="str">
        <f t="shared" ca="1" si="0"/>
        <v>CHF? h?</v>
      </c>
      <c r="B51" s="239"/>
      <c r="C51" s="244" t="s">
        <v>2021</v>
      </c>
      <c r="D51" s="244" t="s">
        <v>2021</v>
      </c>
      <c r="E51" s="244" t="s">
        <v>2021</v>
      </c>
      <c r="F51" s="218" t="s">
        <v>2021</v>
      </c>
    </row>
    <row r="52" spans="1:6" x14ac:dyDescent="0.3">
      <c r="A52" s="245" t="str">
        <f t="shared" ca="1" si="0"/>
        <v>Secteur public</v>
      </c>
      <c r="B52" s="239"/>
      <c r="C52" s="246" t="s">
        <v>2023</v>
      </c>
      <c r="D52" s="246" t="s">
        <v>2022</v>
      </c>
      <c r="E52" s="246" t="s">
        <v>2024</v>
      </c>
      <c r="F52" s="247" t="s">
        <v>2025</v>
      </c>
    </row>
    <row r="53" spans="1:6" x14ac:dyDescent="0.3">
      <c r="A53" s="245" t="str">
        <f t="shared" ca="1" si="0"/>
        <v>Sommaire</v>
      </c>
      <c r="B53" s="248"/>
      <c r="C53" s="249" t="s">
        <v>2169</v>
      </c>
      <c r="D53" s="249" t="s">
        <v>2171</v>
      </c>
      <c r="E53" s="249" t="s">
        <v>2173</v>
      </c>
      <c r="F53" s="249" t="s">
        <v>2174</v>
      </c>
    </row>
    <row r="54" spans="1:6" x14ac:dyDescent="0.3">
      <c r="A54" s="245" t="str">
        <f t="shared" ca="1" si="0"/>
        <v>Détail</v>
      </c>
      <c r="B54" s="248"/>
      <c r="C54" s="249" t="s">
        <v>2170</v>
      </c>
      <c r="D54" s="249" t="s">
        <v>2172</v>
      </c>
      <c r="E54" s="249" t="s">
        <v>2170</v>
      </c>
      <c r="F54" s="249" t="s">
        <v>2175</v>
      </c>
    </row>
    <row r="55" spans="1:6" x14ac:dyDescent="0.3">
      <c r="A55" s="245"/>
      <c r="B55" s="248"/>
    </row>
    <row r="56" spans="1:6" s="252" customFormat="1" x14ac:dyDescent="0.3">
      <c r="A56" s="250" t="str">
        <f t="shared" ca="1" si="0"/>
        <v>M A N D A T   D E   P R O J E T</v>
      </c>
      <c r="B56" s="251"/>
      <c r="C56" s="233" t="s">
        <v>351</v>
      </c>
      <c r="D56" s="233" t="s">
        <v>352</v>
      </c>
      <c r="E56" s="233" t="s">
        <v>741</v>
      </c>
      <c r="F56" s="234" t="s">
        <v>522</v>
      </c>
    </row>
    <row r="57" spans="1:6" x14ac:dyDescent="0.3">
      <c r="A57" s="238" t="str">
        <f t="shared" ca="1" si="0"/>
        <v>No. de projet :</v>
      </c>
      <c r="B57" s="239"/>
      <c r="C57" s="241" t="s">
        <v>1</v>
      </c>
      <c r="D57" s="241" t="s">
        <v>518</v>
      </c>
      <c r="E57" s="241" t="s">
        <v>742</v>
      </c>
      <c r="F57" s="242" t="s">
        <v>577</v>
      </c>
    </row>
    <row r="58" spans="1:6" x14ac:dyDescent="0.3">
      <c r="A58" s="243" t="str">
        <f t="shared" ca="1" si="0"/>
        <v>Début:</v>
      </c>
      <c r="B58" s="239"/>
      <c r="C58" s="244" t="s">
        <v>174</v>
      </c>
      <c r="D58" s="244" t="s">
        <v>175</v>
      </c>
      <c r="E58" s="244" t="s">
        <v>743</v>
      </c>
      <c r="F58" s="218" t="s">
        <v>578</v>
      </c>
    </row>
    <row r="59" spans="1:6" x14ac:dyDescent="0.3">
      <c r="A59" s="243" t="str">
        <f t="shared" ca="1" si="0"/>
        <v>Fin:</v>
      </c>
      <c r="B59" s="239"/>
      <c r="C59" s="244" t="s">
        <v>2</v>
      </c>
      <c r="D59" s="244" t="s">
        <v>76</v>
      </c>
      <c r="E59" s="244" t="s">
        <v>744</v>
      </c>
      <c r="F59" s="218" t="s">
        <v>579</v>
      </c>
    </row>
    <row r="60" spans="1:6" x14ac:dyDescent="0.3">
      <c r="A60" s="243" t="str">
        <f t="shared" ca="1" si="0"/>
        <v>Nom du projet :</v>
      </c>
      <c r="B60" s="239"/>
      <c r="C60" s="244" t="s">
        <v>1755</v>
      </c>
      <c r="D60" s="244" t="s">
        <v>904</v>
      </c>
      <c r="E60" s="244" t="s">
        <v>745</v>
      </c>
      <c r="F60" s="218" t="s">
        <v>1756</v>
      </c>
    </row>
    <row r="61" spans="1:6" x14ac:dyDescent="0.3">
      <c r="A61" s="243" t="str">
        <f t="shared" ca="1" si="0"/>
        <v>Mandant:</v>
      </c>
      <c r="B61" s="239"/>
      <c r="C61" s="244" t="s">
        <v>3</v>
      </c>
      <c r="D61" s="244" t="s">
        <v>77</v>
      </c>
      <c r="E61" s="244" t="s">
        <v>746</v>
      </c>
      <c r="F61" s="218" t="s">
        <v>580</v>
      </c>
    </row>
    <row r="62" spans="1:6" x14ac:dyDescent="0.3">
      <c r="A62" s="243" t="str">
        <f t="shared" ca="1" si="0"/>
        <v>Chef de projet :</v>
      </c>
      <c r="B62" s="239"/>
      <c r="C62" s="244" t="s">
        <v>198</v>
      </c>
      <c r="D62" s="244" t="s">
        <v>185</v>
      </c>
      <c r="E62" s="244" t="s">
        <v>747</v>
      </c>
      <c r="F62" s="218" t="s">
        <v>581</v>
      </c>
    </row>
    <row r="63" spans="1:6" x14ac:dyDescent="0.3">
      <c r="A63" s="243" t="str">
        <f t="shared" ca="1" si="0"/>
        <v>Section :</v>
      </c>
      <c r="B63" s="239"/>
      <c r="C63" s="244" t="s">
        <v>4</v>
      </c>
      <c r="D63" s="244" t="s">
        <v>186</v>
      </c>
      <c r="E63" s="244" t="s">
        <v>748</v>
      </c>
      <c r="F63" s="218" t="s">
        <v>582</v>
      </c>
    </row>
    <row r="64" spans="1:6" x14ac:dyDescent="0.3">
      <c r="A64" s="243" t="str">
        <f t="shared" ca="1" si="0"/>
        <v>modifié le :</v>
      </c>
      <c r="B64" s="239"/>
      <c r="C64" s="244" t="s">
        <v>5</v>
      </c>
      <c r="D64" s="244" t="s">
        <v>187</v>
      </c>
      <c r="E64" s="244" t="s">
        <v>749</v>
      </c>
      <c r="F64" s="218" t="s">
        <v>583</v>
      </c>
    </row>
    <row r="65" spans="1:6" x14ac:dyDescent="0.3">
      <c r="A65" s="243" t="str">
        <f t="shared" ca="1" si="0"/>
        <v>Remplaçant/e :</v>
      </c>
      <c r="B65" s="239"/>
      <c r="C65" s="244" t="s">
        <v>6</v>
      </c>
      <c r="D65" s="244" t="s">
        <v>905</v>
      </c>
      <c r="E65" s="244" t="s">
        <v>750</v>
      </c>
      <c r="F65" s="218" t="s">
        <v>584</v>
      </c>
    </row>
    <row r="66" spans="1:6" x14ac:dyDescent="0.3">
      <c r="A66" s="243" t="str">
        <f t="shared" ca="1" si="0"/>
        <v>Objectif stratégique</v>
      </c>
      <c r="B66" s="239"/>
      <c r="C66" s="244" t="s">
        <v>7</v>
      </c>
      <c r="D66" s="244" t="s">
        <v>78</v>
      </c>
      <c r="E66" s="244" t="s">
        <v>751</v>
      </c>
      <c r="F66" s="218" t="s">
        <v>585</v>
      </c>
    </row>
    <row r="67" spans="1:6" ht="41.4" x14ac:dyDescent="0.3">
      <c r="A67" s="243" t="str">
        <f t="shared" ca="1" si="0"/>
        <v>Pourquoi ce projet est-il nécessaire? (Opportunités, problématique, conditions-cadres)</v>
      </c>
      <c r="B67" s="239"/>
      <c r="C67" s="244" t="s">
        <v>2199</v>
      </c>
      <c r="D67" s="244" t="s">
        <v>2197</v>
      </c>
      <c r="E67" s="244" t="s">
        <v>2198</v>
      </c>
      <c r="F67" s="218" t="s">
        <v>2200</v>
      </c>
    </row>
    <row r="68" spans="1:6" ht="27.6" x14ac:dyDescent="0.3">
      <c r="A68" s="243" t="str">
        <f t="shared" ca="1" si="0"/>
        <v>Objectifs du projet (SMART = Spécifique, Mesurable, Acceptable, Réalisable, Temps)</v>
      </c>
      <c r="B68" s="239"/>
      <c r="C68" s="244" t="s">
        <v>82</v>
      </c>
      <c r="D68" s="244" t="s">
        <v>1707</v>
      </c>
      <c r="E68" s="244" t="s">
        <v>752</v>
      </c>
      <c r="F68" s="218" t="s">
        <v>586</v>
      </c>
    </row>
    <row r="69" spans="1:6" x14ac:dyDescent="0.3">
      <c r="A69" s="243" t="str">
        <f t="shared" ca="1" si="0"/>
        <v>Indicateurs</v>
      </c>
      <c r="B69" s="253"/>
      <c r="C69" s="254" t="s">
        <v>1171</v>
      </c>
      <c r="D69" s="254" t="s">
        <v>1172</v>
      </c>
      <c r="E69" s="254" t="s">
        <v>1173</v>
      </c>
      <c r="F69" s="255" t="s">
        <v>1285</v>
      </c>
    </row>
    <row r="70" spans="1:6" x14ac:dyDescent="0.3">
      <c r="A70" s="243" t="str">
        <f t="shared" ca="1" si="0"/>
        <v>Livrables attendus</v>
      </c>
      <c r="B70" s="239"/>
      <c r="C70" s="244" t="s">
        <v>1750</v>
      </c>
      <c r="D70" s="244" t="s">
        <v>1751</v>
      </c>
      <c r="E70" s="244" t="s">
        <v>1753</v>
      </c>
      <c r="F70" s="218" t="s">
        <v>1752</v>
      </c>
    </row>
    <row r="71" spans="1:6" x14ac:dyDescent="0.3">
      <c r="A71" s="243" t="str">
        <f t="shared" ca="1" si="0"/>
        <v>Budget / Ressources / Personnes</v>
      </c>
      <c r="B71" s="239"/>
      <c r="C71" s="244" t="s">
        <v>14</v>
      </c>
      <c r="D71" s="244" t="s">
        <v>79</v>
      </c>
      <c r="E71" s="244" t="s">
        <v>753</v>
      </c>
      <c r="F71" s="218" t="s">
        <v>587</v>
      </c>
    </row>
    <row r="72" spans="1:6" x14ac:dyDescent="0.3">
      <c r="A72" s="243" t="str">
        <f t="shared" ca="1" si="0"/>
        <v>Ressources internes</v>
      </c>
      <c r="B72" s="239"/>
      <c r="C72" s="244" t="s">
        <v>1470</v>
      </c>
      <c r="D72" s="244" t="s">
        <v>1469</v>
      </c>
      <c r="E72" s="244" t="s">
        <v>1471</v>
      </c>
      <c r="F72" s="218" t="s">
        <v>1473</v>
      </c>
    </row>
    <row r="73" spans="1:6" x14ac:dyDescent="0.3">
      <c r="A73" s="243" t="str">
        <f t="shared" ca="1" si="0"/>
        <v>Charges de pers. :</v>
      </c>
      <c r="B73" s="239"/>
      <c r="C73" s="244" t="s">
        <v>83</v>
      </c>
      <c r="D73" s="244" t="s">
        <v>188</v>
      </c>
      <c r="E73" s="244" t="s">
        <v>754</v>
      </c>
      <c r="F73" s="218" t="s">
        <v>588</v>
      </c>
    </row>
    <row r="74" spans="1:6" x14ac:dyDescent="0.3">
      <c r="A74" s="243" t="str">
        <f t="shared" ca="1" si="0"/>
        <v>voir détail "équipe de projet"</v>
      </c>
      <c r="B74" s="239"/>
      <c r="C74" s="244" t="s">
        <v>61</v>
      </c>
      <c r="D74" s="244" t="s">
        <v>84</v>
      </c>
      <c r="E74" s="244" t="s">
        <v>755</v>
      </c>
      <c r="F74" s="218" t="s">
        <v>589</v>
      </c>
    </row>
    <row r="75" spans="1:6" x14ac:dyDescent="0.3">
      <c r="A75" s="243" t="str">
        <f t="shared" ref="A75:A142" ca="1" si="1">OFFSET($C75,0,$B$4-1)</f>
        <v>Divers 1 :</v>
      </c>
      <c r="B75" s="239"/>
      <c r="C75" s="244" t="s">
        <v>15</v>
      </c>
      <c r="D75" s="244" t="s">
        <v>85</v>
      </c>
      <c r="E75" s="244" t="s">
        <v>756</v>
      </c>
      <c r="F75" s="218" t="s">
        <v>590</v>
      </c>
    </row>
    <row r="76" spans="1:6" x14ac:dyDescent="0.3">
      <c r="A76" s="243" t="str">
        <f t="shared" ca="1" si="1"/>
        <v>voir détail "budget interne"</v>
      </c>
      <c r="B76" s="239"/>
      <c r="C76" s="244" t="s">
        <v>62</v>
      </c>
      <c r="D76" s="244" t="s">
        <v>86</v>
      </c>
      <c r="E76" s="244" t="s">
        <v>757</v>
      </c>
      <c r="F76" s="218" t="s">
        <v>591</v>
      </c>
    </row>
    <row r="77" spans="1:6" x14ac:dyDescent="0.3">
      <c r="A77" s="243" t="str">
        <f t="shared" ca="1" si="1"/>
        <v>Divers 2 :</v>
      </c>
      <c r="B77" s="239"/>
      <c r="C77" s="244" t="s">
        <v>16</v>
      </c>
      <c r="D77" s="244" t="s">
        <v>906</v>
      </c>
      <c r="E77" s="244" t="s">
        <v>758</v>
      </c>
      <c r="F77" s="218" t="s">
        <v>592</v>
      </c>
    </row>
    <row r="78" spans="1:6" x14ac:dyDescent="0.3">
      <c r="A78" s="243" t="str">
        <f t="shared" ca="1" si="1"/>
        <v>Ressources externes</v>
      </c>
      <c r="B78" s="239"/>
      <c r="C78" s="244" t="s">
        <v>1476</v>
      </c>
      <c r="D78" s="244" t="s">
        <v>1475</v>
      </c>
      <c r="E78" s="244" t="s">
        <v>1474</v>
      </c>
      <c r="F78" s="218" t="s">
        <v>1472</v>
      </c>
    </row>
    <row r="79" spans="1:6" x14ac:dyDescent="0.3">
      <c r="A79" s="243" t="str">
        <f t="shared" ca="1" si="1"/>
        <v>Divers 1 :</v>
      </c>
      <c r="B79" s="239"/>
      <c r="C79" s="244" t="s">
        <v>15</v>
      </c>
      <c r="D79" s="244" t="s">
        <v>85</v>
      </c>
      <c r="E79" s="244" t="s">
        <v>756</v>
      </c>
      <c r="F79" s="218" t="s">
        <v>590</v>
      </c>
    </row>
    <row r="80" spans="1:6" x14ac:dyDescent="0.3">
      <c r="A80" s="243" t="str">
        <f t="shared" ca="1" si="1"/>
        <v>voir détail "budget externe"</v>
      </c>
      <c r="B80" s="239"/>
      <c r="C80" s="244" t="s">
        <v>63</v>
      </c>
      <c r="D80" s="244" t="s">
        <v>87</v>
      </c>
      <c r="E80" s="244" t="s">
        <v>759</v>
      </c>
      <c r="F80" s="218" t="s">
        <v>593</v>
      </c>
    </row>
    <row r="81" spans="1:6" x14ac:dyDescent="0.3">
      <c r="A81" s="243" t="str">
        <f t="shared" ca="1" si="1"/>
        <v>Divers 2 :</v>
      </c>
      <c r="B81" s="239"/>
      <c r="C81" s="244" t="s">
        <v>16</v>
      </c>
      <c r="D81" s="244" t="s">
        <v>906</v>
      </c>
      <c r="E81" s="244" t="s">
        <v>758</v>
      </c>
      <c r="F81" s="218" t="s">
        <v>592</v>
      </c>
    </row>
    <row r="82" spans="1:6" x14ac:dyDescent="0.3">
      <c r="A82" s="243" t="str">
        <f t="shared" ca="1" si="1"/>
        <v>Divers 3 :</v>
      </c>
      <c r="B82" s="239"/>
      <c r="C82" s="244" t="s">
        <v>17</v>
      </c>
      <c r="D82" s="244" t="s">
        <v>907</v>
      </c>
      <c r="E82" s="244" t="s">
        <v>760</v>
      </c>
      <c r="F82" s="218" t="s">
        <v>594</v>
      </c>
    </row>
    <row r="83" spans="1:6" x14ac:dyDescent="0.3">
      <c r="A83" s="243" t="str">
        <f t="shared" ca="1" si="1"/>
        <v>TOTAL RESSOURCES</v>
      </c>
      <c r="B83" s="239"/>
      <c r="C83" s="244" t="s">
        <v>1477</v>
      </c>
      <c r="D83" s="244" t="s">
        <v>1478</v>
      </c>
      <c r="E83" s="244" t="s">
        <v>1479</v>
      </c>
      <c r="F83" s="218" t="s">
        <v>1480</v>
      </c>
    </row>
    <row r="84" spans="1:6" x14ac:dyDescent="0.3">
      <c r="A84" s="243" t="str">
        <f t="shared" ca="1" si="1"/>
        <v>Délais / Jalon (Go/NoGo)</v>
      </c>
      <c r="B84" s="239"/>
      <c r="C84" s="244" t="s">
        <v>1301</v>
      </c>
      <c r="D84" s="244" t="s">
        <v>1518</v>
      </c>
      <c r="E84" s="244" t="s">
        <v>1302</v>
      </c>
      <c r="F84" s="218" t="s">
        <v>1303</v>
      </c>
    </row>
    <row r="85" spans="1:6" x14ac:dyDescent="0.3">
      <c r="A85" s="243" t="str">
        <f t="shared" ca="1" si="1"/>
        <v>Quand?</v>
      </c>
      <c r="B85" s="239"/>
      <c r="C85" s="244" t="s">
        <v>18</v>
      </c>
      <c r="D85" s="244" t="s">
        <v>80</v>
      </c>
      <c r="E85" s="244" t="s">
        <v>761</v>
      </c>
      <c r="F85" s="218" t="s">
        <v>595</v>
      </c>
    </row>
    <row r="86" spans="1:6" x14ac:dyDescent="0.3">
      <c r="A86" s="243" t="str">
        <f t="shared" ca="1" si="1"/>
        <v>Quoi?</v>
      </c>
      <c r="B86" s="239"/>
      <c r="C86" s="244" t="s">
        <v>19</v>
      </c>
      <c r="D86" s="244" t="s">
        <v>81</v>
      </c>
      <c r="E86" s="244" t="s">
        <v>762</v>
      </c>
      <c r="F86" s="218" t="s">
        <v>596</v>
      </c>
    </row>
    <row r="87" spans="1:6" x14ac:dyDescent="0.3">
      <c r="A87" s="243" t="str">
        <f t="shared" ca="1" si="1"/>
        <v>Qui?</v>
      </c>
      <c r="B87" s="239"/>
      <c r="C87" s="244" t="s">
        <v>20</v>
      </c>
      <c r="D87" s="244" t="s">
        <v>88</v>
      </c>
      <c r="E87" s="244" t="s">
        <v>763</v>
      </c>
      <c r="F87" s="218" t="s">
        <v>597</v>
      </c>
    </row>
    <row r="88" spans="1:6" x14ac:dyDescent="0.3">
      <c r="A88" s="243" t="str">
        <f t="shared" ca="1" si="1"/>
        <v>Approuvé?</v>
      </c>
      <c r="B88" s="239"/>
      <c r="C88" s="244" t="s">
        <v>21</v>
      </c>
      <c r="D88" s="244" t="s">
        <v>89</v>
      </c>
      <c r="E88" s="244" t="s">
        <v>764</v>
      </c>
      <c r="F88" s="218" t="s">
        <v>598</v>
      </c>
    </row>
    <row r="89" spans="1:6" x14ac:dyDescent="0.3">
      <c r="A89" s="243" t="str">
        <f t="shared" ca="1" si="1"/>
        <v>Commentaires/pièces jointes</v>
      </c>
      <c r="B89" s="239"/>
      <c r="C89" s="244" t="s">
        <v>72</v>
      </c>
      <c r="D89" s="244" t="s">
        <v>189</v>
      </c>
      <c r="E89" s="244" t="s">
        <v>928</v>
      </c>
      <c r="F89" s="218" t="s">
        <v>599</v>
      </c>
    </row>
    <row r="90" spans="1:6" ht="27.6" x14ac:dyDescent="0.3">
      <c r="A90" s="243" t="str">
        <f t="shared" ca="1" si="1"/>
        <v>Discuter du mandat et le faire signer par le mandant</v>
      </c>
      <c r="B90" s="239"/>
      <c r="C90" s="244" t="s">
        <v>131</v>
      </c>
      <c r="D90" s="244" t="s">
        <v>190</v>
      </c>
      <c r="E90" s="244" t="s">
        <v>765</v>
      </c>
      <c r="F90" s="218" t="s">
        <v>600</v>
      </c>
    </row>
    <row r="91" spans="1:6" ht="27.6" x14ac:dyDescent="0.3">
      <c r="A91" s="243" t="str">
        <f t="shared" ca="1" si="1"/>
        <v>Plan détaillé établi et Go/No Go de la part du mandant</v>
      </c>
      <c r="B91" s="239"/>
      <c r="C91" s="244" t="s">
        <v>132</v>
      </c>
      <c r="D91" s="244" t="s">
        <v>191</v>
      </c>
      <c r="E91" s="244" t="s">
        <v>766</v>
      </c>
      <c r="F91" s="218" t="s">
        <v>601</v>
      </c>
    </row>
    <row r="92" spans="1:6" ht="27.6" x14ac:dyDescent="0.3">
      <c r="A92" s="243" t="str">
        <f t="shared" ca="1" si="1"/>
        <v>Concept général établi et Go/No Go de la part du mandant</v>
      </c>
      <c r="B92" s="239"/>
      <c r="C92" s="244" t="s">
        <v>133</v>
      </c>
      <c r="D92" s="244" t="s">
        <v>192</v>
      </c>
      <c r="E92" s="244" t="s">
        <v>767</v>
      </c>
      <c r="F92" s="218" t="s">
        <v>602</v>
      </c>
    </row>
    <row r="93" spans="1:6" ht="27.6" x14ac:dyDescent="0.3">
      <c r="A93" s="243" t="str">
        <f t="shared" ca="1" si="1"/>
        <v>Concept détaillé établi et Go/No Go de la part du mandant</v>
      </c>
      <c r="B93" s="239"/>
      <c r="C93" s="244" t="s">
        <v>134</v>
      </c>
      <c r="D93" s="244" t="s">
        <v>193</v>
      </c>
      <c r="E93" s="244" t="s">
        <v>768</v>
      </c>
      <c r="F93" s="218" t="s">
        <v>603</v>
      </c>
    </row>
    <row r="94" spans="1:6" ht="27.6" x14ac:dyDescent="0.3">
      <c r="A94" s="243" t="str">
        <f t="shared" ca="1" si="1"/>
        <v>Rapport intermédiaire mensuel à l'attention du mandant</v>
      </c>
      <c r="B94" s="239"/>
      <c r="C94" s="244" t="s">
        <v>135</v>
      </c>
      <c r="D94" s="244" t="s">
        <v>909</v>
      </c>
      <c r="E94" s="244" t="s">
        <v>769</v>
      </c>
      <c r="F94" s="218" t="s">
        <v>604</v>
      </c>
    </row>
    <row r="95" spans="1:6" x14ac:dyDescent="0.3">
      <c r="A95" s="243" t="str">
        <f t="shared" ca="1" si="1"/>
        <v>Rapport final à l'attention du mandant</v>
      </c>
      <c r="B95" s="239"/>
      <c r="C95" s="244" t="s">
        <v>136</v>
      </c>
      <c r="D95" s="244" t="s">
        <v>137</v>
      </c>
      <c r="E95" s="244" t="s">
        <v>770</v>
      </c>
      <c r="F95" s="218" t="s">
        <v>605</v>
      </c>
    </row>
    <row r="96" spans="1:6" x14ac:dyDescent="0.3">
      <c r="A96" s="243" t="str">
        <f t="shared" ca="1" si="1"/>
        <v>Date</v>
      </c>
      <c r="B96" s="239"/>
      <c r="C96" s="244" t="s">
        <v>23</v>
      </c>
      <c r="D96" s="244" t="s">
        <v>90</v>
      </c>
      <c r="E96" s="244" t="s">
        <v>90</v>
      </c>
      <c r="F96" s="218" t="s">
        <v>606</v>
      </c>
    </row>
    <row r="97" spans="1:6" x14ac:dyDescent="0.3">
      <c r="A97" s="243" t="str">
        <f t="shared" ca="1" si="1"/>
        <v>Signature mandant</v>
      </c>
      <c r="B97" s="239"/>
      <c r="C97" s="244" t="s">
        <v>24</v>
      </c>
      <c r="D97" s="244" t="s">
        <v>124</v>
      </c>
      <c r="E97" s="244" t="s">
        <v>771</v>
      </c>
      <c r="F97" s="218" t="s">
        <v>607</v>
      </c>
    </row>
    <row r="98" spans="1:6" x14ac:dyDescent="0.3">
      <c r="A98" s="245" t="str">
        <f t="shared" ca="1" si="1"/>
        <v>Signature chef de projet</v>
      </c>
      <c r="B98" s="239"/>
      <c r="C98" s="246" t="s">
        <v>25</v>
      </c>
      <c r="D98" s="246" t="s">
        <v>194</v>
      </c>
      <c r="E98" s="246" t="s">
        <v>772</v>
      </c>
      <c r="F98" s="247" t="s">
        <v>608</v>
      </c>
    </row>
    <row r="99" spans="1:6" s="252" customFormat="1" x14ac:dyDescent="0.3">
      <c r="A99" s="250" t="str">
        <f t="shared" ca="1" si="1"/>
        <v>C H E C K  -  L I S T E</v>
      </c>
      <c r="B99" s="251"/>
      <c r="C99" s="233" t="s">
        <v>942</v>
      </c>
      <c r="D99" s="233" t="s">
        <v>966</v>
      </c>
      <c r="E99" s="233" t="s">
        <v>941</v>
      </c>
      <c r="F99" s="234" t="s">
        <v>943</v>
      </c>
    </row>
    <row r="100" spans="1:6" x14ac:dyDescent="0.3">
      <c r="A100" s="238" t="str">
        <f t="shared" ca="1" si="1"/>
        <v>Semaine</v>
      </c>
      <c r="B100" s="239"/>
      <c r="C100" s="241" t="s">
        <v>54</v>
      </c>
      <c r="D100" s="241" t="s">
        <v>112</v>
      </c>
      <c r="E100" s="241" t="s">
        <v>773</v>
      </c>
      <c r="F100" s="242" t="s">
        <v>609</v>
      </c>
    </row>
    <row r="101" spans="1:6" x14ac:dyDescent="0.3">
      <c r="A101" s="243" t="str">
        <f t="shared" ca="1" si="1"/>
        <v>Planification sommaire</v>
      </c>
      <c r="B101" s="239"/>
      <c r="C101" s="244" t="s">
        <v>38</v>
      </c>
      <c r="D101" s="244" t="s">
        <v>93</v>
      </c>
      <c r="E101" s="244" t="s">
        <v>724</v>
      </c>
      <c r="F101" s="218" t="s">
        <v>558</v>
      </c>
    </row>
    <row r="102" spans="1:6" x14ac:dyDescent="0.3">
      <c r="A102" s="243" t="str">
        <f t="shared" ca="1" si="1"/>
        <v>Début</v>
      </c>
      <c r="B102" s="239"/>
      <c r="C102" s="244" t="s">
        <v>65</v>
      </c>
      <c r="D102" s="244" t="s">
        <v>104</v>
      </c>
      <c r="E102" s="244" t="s">
        <v>774</v>
      </c>
      <c r="F102" s="218" t="s">
        <v>610</v>
      </c>
    </row>
    <row r="103" spans="1:6" x14ac:dyDescent="0.3">
      <c r="A103" s="243" t="str">
        <f t="shared" ca="1" si="1"/>
        <v>Fin</v>
      </c>
      <c r="B103" s="239"/>
      <c r="C103" s="244" t="s">
        <v>66</v>
      </c>
      <c r="D103" s="244" t="s">
        <v>105</v>
      </c>
      <c r="E103" s="244" t="s">
        <v>775</v>
      </c>
      <c r="F103" s="218" t="s">
        <v>611</v>
      </c>
    </row>
    <row r="104" spans="1:6" x14ac:dyDescent="0.3">
      <c r="A104" s="243" t="str">
        <f t="shared" ca="1" si="1"/>
        <v>Qui ?</v>
      </c>
      <c r="B104" s="239"/>
      <c r="C104" s="244" t="s">
        <v>20</v>
      </c>
      <c r="D104" s="244" t="s">
        <v>1025</v>
      </c>
      <c r="E104" s="244" t="s">
        <v>763</v>
      </c>
      <c r="F104" s="218" t="s">
        <v>597</v>
      </c>
    </row>
    <row r="105" spans="1:6" x14ac:dyDescent="0.3">
      <c r="A105" s="243" t="str">
        <f t="shared" ca="1" si="1"/>
        <v>Heures de travail</v>
      </c>
      <c r="B105" s="239"/>
      <c r="C105" s="244" t="s">
        <v>204</v>
      </c>
      <c r="D105" s="244" t="s">
        <v>206</v>
      </c>
      <c r="E105" s="244" t="s">
        <v>776</v>
      </c>
      <c r="F105" s="218" t="s">
        <v>612</v>
      </c>
    </row>
    <row r="106" spans="1:6" x14ac:dyDescent="0.3">
      <c r="A106" s="243" t="str">
        <f t="shared" ca="1" si="1"/>
        <v>Jours de travail (8h)</v>
      </c>
      <c r="B106" s="239"/>
      <c r="C106" s="244" t="s">
        <v>205</v>
      </c>
      <c r="D106" s="244" t="s">
        <v>207</v>
      </c>
      <c r="E106" s="244" t="s">
        <v>777</v>
      </c>
      <c r="F106" s="218" t="s">
        <v>613</v>
      </c>
    </row>
    <row r="107" spans="1:6" x14ac:dyDescent="0.3">
      <c r="A107" s="243" t="str">
        <f t="shared" ca="1" si="1"/>
        <v>EI</v>
      </c>
      <c r="B107" s="239"/>
      <c r="C107" s="244" t="s">
        <v>67</v>
      </c>
      <c r="D107" s="244" t="s">
        <v>106</v>
      </c>
      <c r="E107" s="244" t="s">
        <v>67</v>
      </c>
      <c r="F107" s="218" t="s">
        <v>67</v>
      </c>
    </row>
    <row r="108" spans="1:6" x14ac:dyDescent="0.3">
      <c r="A108" s="243" t="str">
        <f t="shared" ca="1" si="1"/>
        <v>PHASE D'INITIALISATION</v>
      </c>
      <c r="B108" s="239"/>
      <c r="C108" s="244" t="s">
        <v>68</v>
      </c>
      <c r="D108" s="244" t="s">
        <v>107</v>
      </c>
      <c r="E108" s="244" t="s">
        <v>778</v>
      </c>
      <c r="F108" s="218" t="s">
        <v>614</v>
      </c>
    </row>
    <row r="109" spans="1:6" x14ac:dyDescent="0.3">
      <c r="A109" s="243" t="str">
        <f t="shared" ca="1" si="1"/>
        <v>PHASE DE PLANIFICATION</v>
      </c>
      <c r="B109" s="239"/>
      <c r="C109" s="244" t="s">
        <v>69</v>
      </c>
      <c r="D109" s="244" t="s">
        <v>108</v>
      </c>
      <c r="E109" s="244" t="s">
        <v>779</v>
      </c>
      <c r="F109" s="218" t="s">
        <v>615</v>
      </c>
    </row>
    <row r="110" spans="1:6" x14ac:dyDescent="0.3">
      <c r="A110" s="243" t="str">
        <f t="shared" ca="1" si="1"/>
        <v>PHASE DE CONCEPTION</v>
      </c>
      <c r="B110" s="239"/>
      <c r="C110" s="244" t="s">
        <v>199</v>
      </c>
      <c r="D110" s="244" t="s">
        <v>109</v>
      </c>
      <c r="E110" s="244" t="s">
        <v>780</v>
      </c>
      <c r="F110" s="218" t="s">
        <v>619</v>
      </c>
    </row>
    <row r="111" spans="1:6" x14ac:dyDescent="0.3">
      <c r="A111" s="243" t="str">
        <f t="shared" ca="1" si="1"/>
        <v>PHASE DE RÉALISATION</v>
      </c>
      <c r="B111" s="239"/>
      <c r="C111" s="244" t="s">
        <v>70</v>
      </c>
      <c r="D111" s="244" t="s">
        <v>110</v>
      </c>
      <c r="E111" s="244" t="s">
        <v>781</v>
      </c>
      <c r="F111" s="218" t="s">
        <v>616</v>
      </c>
    </row>
    <row r="112" spans="1:6" x14ac:dyDescent="0.3">
      <c r="A112" s="243" t="str">
        <f t="shared" ca="1" si="1"/>
        <v>PHASE DE FINALISATION</v>
      </c>
      <c r="B112" s="239"/>
      <c r="C112" s="244" t="s">
        <v>71</v>
      </c>
      <c r="D112" s="244" t="s">
        <v>111</v>
      </c>
      <c r="E112" s="244" t="s">
        <v>782</v>
      </c>
      <c r="F112" s="218" t="s">
        <v>617</v>
      </c>
    </row>
    <row r="113" spans="1:6" x14ac:dyDescent="0.3">
      <c r="A113" s="243" t="str">
        <f t="shared" ca="1" si="1"/>
        <v>Oui</v>
      </c>
      <c r="B113" s="239"/>
      <c r="C113" s="244" t="s">
        <v>64</v>
      </c>
      <c r="D113" s="244" t="s">
        <v>114</v>
      </c>
      <c r="E113" s="244" t="s">
        <v>783</v>
      </c>
      <c r="F113" s="218" t="s">
        <v>618</v>
      </c>
    </row>
    <row r="114" spans="1:6" x14ac:dyDescent="0.3">
      <c r="A114" s="243" t="str">
        <f t="shared" ca="1" si="1"/>
        <v>Divers</v>
      </c>
      <c r="B114" s="239"/>
      <c r="C114" s="244" t="s">
        <v>437</v>
      </c>
      <c r="D114" s="244" t="s">
        <v>438</v>
      </c>
      <c r="E114" s="244" t="s">
        <v>784</v>
      </c>
      <c r="F114" s="218" t="s">
        <v>620</v>
      </c>
    </row>
    <row r="115" spans="1:6" x14ac:dyDescent="0.3">
      <c r="A115" s="245" t="str">
        <f t="shared" ca="1" si="1"/>
        <v>Check-Liste</v>
      </c>
      <c r="B115" s="239"/>
      <c r="C115" s="246" t="s">
        <v>945</v>
      </c>
      <c r="D115" s="246" t="s">
        <v>945</v>
      </c>
      <c r="E115" s="246" t="s">
        <v>946</v>
      </c>
      <c r="F115" s="247" t="s">
        <v>947</v>
      </c>
    </row>
    <row r="116" spans="1:6" s="252" customFormat="1" x14ac:dyDescent="0.3">
      <c r="A116" s="250" t="str">
        <f t="shared" ca="1" si="1"/>
        <v>P L A N I F I C A T I O N    D É T A I L L É E</v>
      </c>
      <c r="B116" s="251"/>
      <c r="C116" s="233" t="s">
        <v>354</v>
      </c>
      <c r="D116" s="233" t="s">
        <v>353</v>
      </c>
      <c r="E116" s="233" t="s">
        <v>785</v>
      </c>
      <c r="F116" s="234" t="s">
        <v>521</v>
      </c>
    </row>
    <row r="117" spans="1:6" x14ac:dyDescent="0.3">
      <c r="A117" s="238" t="str">
        <f t="shared" ca="1" si="1"/>
        <v>Trier</v>
      </c>
      <c r="B117" s="239"/>
      <c r="C117" s="241" t="s">
        <v>160</v>
      </c>
      <c r="D117" s="241" t="s">
        <v>161</v>
      </c>
      <c r="E117" s="241" t="s">
        <v>786</v>
      </c>
      <c r="F117" s="242" t="s">
        <v>621</v>
      </c>
    </row>
    <row r="118" spans="1:6" x14ac:dyDescent="0.3">
      <c r="A118" s="243" t="str">
        <f t="shared" ca="1" si="1"/>
        <v xml:space="preserve">  Aujourd'hui</v>
      </c>
      <c r="B118" s="239"/>
      <c r="C118" s="244" t="s">
        <v>366</v>
      </c>
      <c r="D118" s="244" t="s">
        <v>365</v>
      </c>
      <c r="E118" s="244" t="s">
        <v>787</v>
      </c>
      <c r="F118" s="218" t="s">
        <v>622</v>
      </c>
    </row>
    <row r="119" spans="1:6" x14ac:dyDescent="0.3">
      <c r="A119" s="243" t="str">
        <f t="shared" ca="1" si="1"/>
        <v>Planification détaillée</v>
      </c>
      <c r="B119" s="239"/>
      <c r="C119" s="244" t="s">
        <v>26</v>
      </c>
      <c r="D119" s="244" t="s">
        <v>113</v>
      </c>
      <c r="E119" s="244" t="s">
        <v>788</v>
      </c>
      <c r="F119" s="218" t="s">
        <v>563</v>
      </c>
    </row>
    <row r="120" spans="1:6" x14ac:dyDescent="0.3">
      <c r="A120" s="243" t="str">
        <f t="shared" ca="1" si="1"/>
        <v>Oui</v>
      </c>
      <c r="B120" s="239"/>
      <c r="C120" s="244" t="s">
        <v>64</v>
      </c>
      <c r="D120" s="244" t="s">
        <v>114</v>
      </c>
      <c r="E120" s="244" t="s">
        <v>783</v>
      </c>
      <c r="F120" s="218" t="s">
        <v>618</v>
      </c>
    </row>
    <row r="121" spans="1:6" x14ac:dyDescent="0.3">
      <c r="A121" s="243" t="str">
        <f t="shared" ca="1" si="1"/>
        <v>Resp.</v>
      </c>
      <c r="B121" s="239"/>
      <c r="C121" s="244" t="s">
        <v>201</v>
      </c>
      <c r="D121" s="244" t="s">
        <v>200</v>
      </c>
      <c r="E121" s="244" t="s">
        <v>789</v>
      </c>
      <c r="F121" s="218" t="s">
        <v>200</v>
      </c>
    </row>
    <row r="122" spans="1:6" x14ac:dyDescent="0.3">
      <c r="A122" s="243" t="str">
        <f t="shared" ca="1" si="1"/>
        <v>Filtre :</v>
      </c>
      <c r="B122" s="239"/>
      <c r="C122" s="244" t="s">
        <v>227</v>
      </c>
      <c r="D122" s="244" t="s">
        <v>908</v>
      </c>
      <c r="E122" s="244" t="s">
        <v>227</v>
      </c>
      <c r="F122" s="218" t="s">
        <v>623</v>
      </c>
    </row>
    <row r="123" spans="1:6" x14ac:dyDescent="0.3">
      <c r="A123" s="243" t="str">
        <f t="shared" ca="1" si="1"/>
        <v>Totale heures</v>
      </c>
      <c r="B123" s="239"/>
      <c r="C123" s="244" t="s">
        <v>1032</v>
      </c>
      <c r="D123" s="244" t="s">
        <v>1033</v>
      </c>
      <c r="E123" s="244" t="s">
        <v>1034</v>
      </c>
      <c r="F123" s="218" t="s">
        <v>1035</v>
      </c>
    </row>
    <row r="124" spans="1:6" x14ac:dyDescent="0.3">
      <c r="A124" s="243" t="str">
        <f t="shared" ca="1" si="1"/>
        <v>Total réalisées [h]</v>
      </c>
      <c r="B124" s="239"/>
      <c r="C124" s="244" t="s">
        <v>1196</v>
      </c>
      <c r="D124" s="244" t="s">
        <v>1197</v>
      </c>
      <c r="E124" s="244" t="s">
        <v>1198</v>
      </c>
      <c r="F124" s="218" t="s">
        <v>1199</v>
      </c>
    </row>
    <row r="125" spans="1:6" x14ac:dyDescent="0.3">
      <c r="A125" s="243" t="str">
        <f t="shared" ca="1" si="1"/>
        <v>Budget [h]</v>
      </c>
      <c r="B125" s="239"/>
      <c r="C125" s="244" t="s">
        <v>1148</v>
      </c>
      <c r="D125" s="244" t="s">
        <v>1148</v>
      </c>
      <c r="E125" s="244" t="s">
        <v>1148</v>
      </c>
      <c r="F125" s="218" t="s">
        <v>1148</v>
      </c>
    </row>
    <row r="126" spans="1:6" x14ac:dyDescent="0.3">
      <c r="A126" s="243" t="str">
        <f t="shared" ca="1" si="1"/>
        <v>Budget [CHF]</v>
      </c>
      <c r="B126" s="253"/>
      <c r="C126" s="217" t="str">
        <f>"Budget"&amp;" ["&amp;Logo!$D$13&amp;"]"</f>
        <v>Budget [CHF]</v>
      </c>
      <c r="D126" s="217" t="str">
        <f>"Budget"&amp;" ["&amp;Logo!$D$13&amp;"]"</f>
        <v>Budget [CHF]</v>
      </c>
      <c r="E126" s="217" t="str">
        <f>"Budget"&amp;" ["&amp;Logo!$D$13&amp;"]"</f>
        <v>Budget [CHF]</v>
      </c>
      <c r="F126" s="218" t="str">
        <f>"Budget"&amp;" ["&amp;Logo!$D$13&amp;"]"</f>
        <v>Budget [CHF]</v>
      </c>
    </row>
    <row r="127" spans="1:6" x14ac:dyDescent="0.3">
      <c r="A127" s="243" t="str">
        <f t="shared" ca="1" si="1"/>
        <v>interne :</v>
      </c>
      <c r="B127" s="253"/>
      <c r="C127" s="256" t="s">
        <v>1190</v>
      </c>
      <c r="D127" s="256" t="s">
        <v>1192</v>
      </c>
      <c r="E127" s="256" t="s">
        <v>1190</v>
      </c>
      <c r="F127" s="218" t="s">
        <v>1194</v>
      </c>
    </row>
    <row r="128" spans="1:6" x14ac:dyDescent="0.3">
      <c r="A128" s="243" t="str">
        <f t="shared" ca="1" si="1"/>
        <v>externe :</v>
      </c>
      <c r="B128" s="253"/>
      <c r="C128" s="217" t="s">
        <v>1191</v>
      </c>
      <c r="D128" s="217" t="s">
        <v>1193</v>
      </c>
      <c r="E128" s="217" t="s">
        <v>1191</v>
      </c>
      <c r="F128" s="218" t="s">
        <v>1195</v>
      </c>
    </row>
    <row r="129" spans="1:6" x14ac:dyDescent="0.3">
      <c r="A129" s="243" t="str">
        <f t="shared" ca="1" si="1"/>
        <v>Solde budget [h]</v>
      </c>
      <c r="B129" s="239"/>
      <c r="C129" s="244" t="s">
        <v>1182</v>
      </c>
      <c r="D129" s="244" t="s">
        <v>1187</v>
      </c>
      <c r="E129" s="244" t="s">
        <v>1188</v>
      </c>
      <c r="F129" s="218" t="s">
        <v>1189</v>
      </c>
    </row>
    <row r="130" spans="1:6" x14ac:dyDescent="0.3">
      <c r="A130" s="243" t="str">
        <f t="shared" ca="1" si="1"/>
        <v>Solde budget [CHF]</v>
      </c>
      <c r="B130" s="253"/>
      <c r="C130" s="244" t="str">
        <f>"Saldo Budget"&amp;" ["&amp;Logo!$D$13&amp;"]"</f>
        <v>Saldo Budget [CHF]</v>
      </c>
      <c r="D130" s="244" t="str">
        <f>"Solde budget"&amp;" ["&amp;Logo!$D$13&amp;"]"</f>
        <v>Solde budget [CHF]</v>
      </c>
      <c r="E130" s="244" t="str">
        <f>"Balance budget"&amp;" ["&amp;Logo!$D$13&amp;"]"</f>
        <v>Balance budget [CHF]</v>
      </c>
      <c r="F130" s="218" t="str">
        <f>"Saldo budget"&amp;" ["&amp;Logo!$D$13&amp;"]"</f>
        <v>Saldo budget [CHF]</v>
      </c>
    </row>
    <row r="131" spans="1:6" x14ac:dyDescent="0.3">
      <c r="A131" s="245" t="str">
        <f t="shared" ca="1" si="1"/>
        <v>Solde [%]</v>
      </c>
      <c r="B131" s="239"/>
      <c r="C131" s="246" t="s">
        <v>1161</v>
      </c>
      <c r="D131" s="246" t="s">
        <v>1162</v>
      </c>
      <c r="E131" s="246" t="s">
        <v>1163</v>
      </c>
      <c r="F131" s="247" t="s">
        <v>1161</v>
      </c>
    </row>
    <row r="132" spans="1:6" x14ac:dyDescent="0.3">
      <c r="A132" s="245" t="str">
        <f t="shared" ca="1" si="1"/>
        <v>Solde</v>
      </c>
      <c r="B132" s="239"/>
      <c r="C132" s="244" t="s">
        <v>221</v>
      </c>
      <c r="D132" s="244" t="s">
        <v>222</v>
      </c>
      <c r="E132" s="244" t="s">
        <v>820</v>
      </c>
      <c r="F132" s="218" t="s">
        <v>221</v>
      </c>
    </row>
    <row r="133" spans="1:6" x14ac:dyDescent="0.3">
      <c r="A133" s="245" t="str">
        <f t="shared" ca="1" si="1"/>
        <v>Réalisées</v>
      </c>
      <c r="B133" s="239"/>
      <c r="C133" s="244" t="s">
        <v>1144</v>
      </c>
      <c r="D133" s="244" t="s">
        <v>1145</v>
      </c>
      <c r="E133" s="244" t="s">
        <v>1146</v>
      </c>
      <c r="F133" s="218" t="s">
        <v>1147</v>
      </c>
    </row>
    <row r="134" spans="1:6" x14ac:dyDescent="0.3">
      <c r="A134" s="245" t="str">
        <f t="shared" ca="1" si="1"/>
        <v>Solde jours réalisées</v>
      </c>
      <c r="B134" s="257"/>
      <c r="C134" s="256" t="s">
        <v>1139</v>
      </c>
      <c r="D134" s="244" t="s">
        <v>1140</v>
      </c>
      <c r="E134" s="244" t="s">
        <v>1141</v>
      </c>
      <c r="F134" s="218" t="s">
        <v>1142</v>
      </c>
    </row>
    <row r="135" spans="1:6" x14ac:dyDescent="0.3">
      <c r="A135" s="245" t="str">
        <f t="shared" ca="1" si="1"/>
        <v xml:space="preserve"> jours</v>
      </c>
      <c r="B135" s="239"/>
      <c r="C135" s="244" t="s">
        <v>1115</v>
      </c>
      <c r="D135" s="244" t="s">
        <v>1116</v>
      </c>
      <c r="E135" s="244" t="s">
        <v>1117</v>
      </c>
      <c r="F135" s="218" t="s">
        <v>1118</v>
      </c>
    </row>
    <row r="136" spans="1:6" x14ac:dyDescent="0.3">
      <c r="A136" s="245" t="str">
        <f t="shared" ca="1" si="1"/>
        <v xml:space="preserve"> heures</v>
      </c>
      <c r="B136" s="239"/>
      <c r="C136" s="244" t="s">
        <v>1119</v>
      </c>
      <c r="D136" s="244" t="s">
        <v>1122</v>
      </c>
      <c r="E136" s="244" t="s">
        <v>1120</v>
      </c>
      <c r="F136" s="218" t="s">
        <v>1121</v>
      </c>
    </row>
    <row r="137" spans="1:6" x14ac:dyDescent="0.3">
      <c r="A137" s="245" t="str">
        <f t="shared" ca="1" si="1"/>
        <v>Aperçu des heures</v>
      </c>
      <c r="B137" s="239"/>
      <c r="C137" s="244" t="s">
        <v>1692</v>
      </c>
      <c r="D137" s="244" t="s">
        <v>1691</v>
      </c>
      <c r="E137" s="244" t="s">
        <v>1693</v>
      </c>
      <c r="F137" s="218" t="s">
        <v>1694</v>
      </c>
    </row>
    <row r="138" spans="1:6" ht="27.6" x14ac:dyDescent="0.3">
      <c r="A138" s="245" t="str">
        <f t="shared" ca="1" si="1"/>
        <v>Durée
(jours)</v>
      </c>
      <c r="B138" s="248"/>
      <c r="C138" s="249" t="s">
        <v>1832</v>
      </c>
      <c r="D138" s="249" t="s">
        <v>1829</v>
      </c>
      <c r="E138" s="249" t="s">
        <v>1830</v>
      </c>
      <c r="F138" s="249" t="s">
        <v>1831</v>
      </c>
    </row>
    <row r="139" spans="1:6" x14ac:dyDescent="0.3">
      <c r="A139" s="245" t="str">
        <f t="shared" ca="1" si="1"/>
        <v>Solde</v>
      </c>
      <c r="B139" s="248"/>
      <c r="C139" s="244" t="s">
        <v>221</v>
      </c>
      <c r="D139" s="244" t="s">
        <v>222</v>
      </c>
      <c r="E139" s="244" t="s">
        <v>820</v>
      </c>
      <c r="F139" s="218" t="s">
        <v>221</v>
      </c>
    </row>
    <row r="140" spans="1:6" x14ac:dyDescent="0.3">
      <c r="A140" s="245" t="str">
        <f t="shared" ca="1" si="1"/>
        <v>Total</v>
      </c>
      <c r="B140" s="248"/>
      <c r="C140" s="249" t="s">
        <v>1535</v>
      </c>
      <c r="D140" s="249" t="s">
        <v>1535</v>
      </c>
      <c r="E140" s="249" t="s">
        <v>1535</v>
      </c>
      <c r="F140" s="249" t="s">
        <v>1861</v>
      </c>
    </row>
    <row r="141" spans="1:6" x14ac:dyDescent="0.3">
      <c r="A141" s="245" t="str">
        <f t="shared" ca="1" si="1"/>
        <v>Progrès</v>
      </c>
      <c r="B141" s="248"/>
      <c r="C141" s="249" t="s">
        <v>1834</v>
      </c>
      <c r="D141" s="249" t="s">
        <v>2201</v>
      </c>
      <c r="E141" s="249" t="s">
        <v>1836</v>
      </c>
      <c r="F141" s="249" t="s">
        <v>2202</v>
      </c>
    </row>
    <row r="142" spans="1:6" s="252" customFormat="1" x14ac:dyDescent="0.3">
      <c r="A142" s="250" t="str">
        <f t="shared" ca="1" si="1"/>
        <v>P L A N I F I C A T I O N   S O M M A I R E</v>
      </c>
      <c r="B142" s="251"/>
      <c r="C142" s="233" t="s">
        <v>1123</v>
      </c>
      <c r="D142" s="233" t="s">
        <v>1124</v>
      </c>
      <c r="E142" s="233" t="s">
        <v>1125</v>
      </c>
      <c r="F142" s="234" t="s">
        <v>1126</v>
      </c>
    </row>
    <row r="143" spans="1:6" x14ac:dyDescent="0.3">
      <c r="A143" s="245" t="str">
        <f t="shared" ref="A143:A206" ca="1" si="2">OFFSET($C143,0,$B$4-1)</f>
        <v>terminé</v>
      </c>
      <c r="B143" s="239"/>
      <c r="C143" s="244" t="s">
        <v>1127</v>
      </c>
      <c r="D143" s="244" t="s">
        <v>1137</v>
      </c>
      <c r="E143" s="244" t="s">
        <v>1129</v>
      </c>
      <c r="F143" s="218" t="s">
        <v>1128</v>
      </c>
    </row>
    <row r="144" spans="1:6" x14ac:dyDescent="0.3">
      <c r="A144" s="245" t="str">
        <f t="shared" ca="1" si="2"/>
        <v>en cours</v>
      </c>
      <c r="B144" s="239"/>
      <c r="C144" s="244" t="s">
        <v>1132</v>
      </c>
      <c r="D144" s="244" t="s">
        <v>1130</v>
      </c>
      <c r="E144" s="244" t="s">
        <v>1131</v>
      </c>
      <c r="F144" s="218" t="s">
        <v>1133</v>
      </c>
    </row>
    <row r="145" spans="1:6" x14ac:dyDescent="0.3">
      <c r="A145" s="245" t="str">
        <f t="shared" ca="1" si="2"/>
        <v>jalons</v>
      </c>
      <c r="B145" s="239"/>
      <c r="C145" s="244" t="s">
        <v>319</v>
      </c>
      <c r="D145" s="244" t="s">
        <v>1136</v>
      </c>
      <c r="E145" s="244" t="s">
        <v>1135</v>
      </c>
      <c r="F145" s="218" t="s">
        <v>1134</v>
      </c>
    </row>
    <row r="146" spans="1:6" s="252" customFormat="1" x14ac:dyDescent="0.3">
      <c r="A146" s="250" t="str">
        <f t="shared" ca="1" si="2"/>
        <v>E T A T  D U  P R O J E T</v>
      </c>
      <c r="B146" s="251"/>
      <c r="C146" s="233" t="s">
        <v>355</v>
      </c>
      <c r="D146" s="233" t="s">
        <v>356</v>
      </c>
      <c r="E146" s="233" t="s">
        <v>790</v>
      </c>
      <c r="F146" s="234" t="s">
        <v>520</v>
      </c>
    </row>
    <row r="147" spans="1:6" ht="27.6" x14ac:dyDescent="0.3">
      <c r="A147" s="238" t="str">
        <f t="shared" ca="1" si="2"/>
        <v>Evaluation générale (1 = se déroule comme prévu ; 2 = à surveiller ; 3 = critique)</v>
      </c>
      <c r="B147" s="239"/>
      <c r="C147" s="241" t="s">
        <v>911</v>
      </c>
      <c r="D147" s="241" t="s">
        <v>910</v>
      </c>
      <c r="E147" s="241" t="s">
        <v>791</v>
      </c>
      <c r="F147" s="242" t="s">
        <v>625</v>
      </c>
    </row>
    <row r="148" spans="1:6" x14ac:dyDescent="0.3">
      <c r="A148" s="243" t="str">
        <f t="shared" ca="1" si="2"/>
        <v>Projet global</v>
      </c>
      <c r="B148" s="239"/>
      <c r="C148" s="244" t="s">
        <v>27</v>
      </c>
      <c r="D148" s="244" t="s">
        <v>195</v>
      </c>
      <c r="E148" s="244" t="s">
        <v>912</v>
      </c>
      <c r="F148" s="218" t="s">
        <v>626</v>
      </c>
    </row>
    <row r="149" spans="1:6" x14ac:dyDescent="0.3">
      <c r="A149" s="243" t="str">
        <f t="shared" ca="1" si="2"/>
        <v>Budget/Ressources</v>
      </c>
      <c r="B149" s="239"/>
      <c r="C149" s="244" t="s">
        <v>28</v>
      </c>
      <c r="D149" s="244" t="s">
        <v>115</v>
      </c>
      <c r="E149" s="244" t="s">
        <v>792</v>
      </c>
      <c r="F149" s="218" t="s">
        <v>627</v>
      </c>
    </row>
    <row r="150" spans="1:6" x14ac:dyDescent="0.3">
      <c r="A150" s="243" t="str">
        <f t="shared" ca="1" si="2"/>
        <v>Qualité/Objectifs</v>
      </c>
      <c r="B150" s="239"/>
      <c r="C150" s="244" t="s">
        <v>213</v>
      </c>
      <c r="D150" s="244" t="s">
        <v>214</v>
      </c>
      <c r="E150" s="244" t="s">
        <v>793</v>
      </c>
      <c r="F150" s="218" t="s">
        <v>628</v>
      </c>
    </row>
    <row r="151" spans="1:6" x14ac:dyDescent="0.3">
      <c r="A151" s="243" t="str">
        <f t="shared" ca="1" si="2"/>
        <v>Délais/Planification</v>
      </c>
      <c r="B151" s="239"/>
      <c r="C151" s="244" t="s">
        <v>29</v>
      </c>
      <c r="D151" s="244" t="s">
        <v>116</v>
      </c>
      <c r="E151" s="244" t="s">
        <v>794</v>
      </c>
      <c r="F151" s="218" t="s">
        <v>629</v>
      </c>
    </row>
    <row r="152" spans="1:6" x14ac:dyDescent="0.3">
      <c r="A152" s="243" t="str">
        <f t="shared" ca="1" si="2"/>
        <v>comme prévu</v>
      </c>
      <c r="B152" s="239"/>
      <c r="C152" s="244" t="s">
        <v>162</v>
      </c>
      <c r="D152" s="244" t="s">
        <v>163</v>
      </c>
      <c r="E152" s="244" t="s">
        <v>795</v>
      </c>
      <c r="F152" s="218" t="s">
        <v>630</v>
      </c>
    </row>
    <row r="153" spans="1:6" x14ac:dyDescent="0.3">
      <c r="A153" s="243" t="str">
        <f t="shared" ca="1" si="2"/>
        <v>critique</v>
      </c>
      <c r="B153" s="239"/>
      <c r="C153" s="244" t="s">
        <v>164</v>
      </c>
      <c r="D153" s="244" t="s">
        <v>165</v>
      </c>
      <c r="E153" s="244" t="s">
        <v>796</v>
      </c>
      <c r="F153" s="218" t="s">
        <v>631</v>
      </c>
    </row>
    <row r="154" spans="1:6" x14ac:dyDescent="0.3">
      <c r="A154" s="243" t="str">
        <f t="shared" ca="1" si="2"/>
        <v>à surveiller</v>
      </c>
      <c r="B154" s="239"/>
      <c r="C154" s="244" t="s">
        <v>166</v>
      </c>
      <c r="D154" s="244" t="s">
        <v>167</v>
      </c>
      <c r="E154" s="244" t="s">
        <v>797</v>
      </c>
      <c r="F154" s="218" t="s">
        <v>632</v>
      </c>
    </row>
    <row r="155" spans="1:6" x14ac:dyDescent="0.3">
      <c r="A155" s="243" t="str">
        <f t="shared" ca="1" si="2"/>
        <v>comme prévu</v>
      </c>
      <c r="B155" s="239"/>
      <c r="C155" s="244" t="s">
        <v>162</v>
      </c>
      <c r="D155" s="244" t="s">
        <v>163</v>
      </c>
      <c r="E155" s="244" t="s">
        <v>930</v>
      </c>
      <c r="F155" s="218" t="s">
        <v>630</v>
      </c>
    </row>
    <row r="156" spans="1:6" x14ac:dyDescent="0.3">
      <c r="A156" s="243" t="str">
        <f t="shared" ca="1" si="2"/>
        <v>Commentaires</v>
      </c>
      <c r="B156" s="239"/>
      <c r="C156" s="244" t="s">
        <v>22</v>
      </c>
      <c r="D156" s="244" t="s">
        <v>117</v>
      </c>
      <c r="E156" s="244" t="s">
        <v>798</v>
      </c>
      <c r="F156" s="218" t="s">
        <v>633</v>
      </c>
    </row>
    <row r="157" spans="1:6" x14ac:dyDescent="0.3">
      <c r="A157" s="243" t="str">
        <f t="shared" ca="1" si="2"/>
        <v>Succès (dernière période)</v>
      </c>
      <c r="B157" s="239"/>
      <c r="C157" s="244" t="s">
        <v>1288</v>
      </c>
      <c r="D157" s="244" t="s">
        <v>1654</v>
      </c>
      <c r="E157" s="244" t="s">
        <v>1289</v>
      </c>
      <c r="F157" s="218" t="s">
        <v>1290</v>
      </c>
    </row>
    <row r="158" spans="1:6" x14ac:dyDescent="0.3">
      <c r="A158" s="243" t="str">
        <f t="shared" ca="1" si="2"/>
        <v>Problèmes spécifiques (dernière période)</v>
      </c>
      <c r="B158" s="239"/>
      <c r="C158" s="244" t="s">
        <v>1291</v>
      </c>
      <c r="D158" s="244" t="s">
        <v>1655</v>
      </c>
      <c r="E158" s="244" t="s">
        <v>1292</v>
      </c>
      <c r="F158" s="218" t="s">
        <v>1293</v>
      </c>
    </row>
    <row r="159" spans="1:6" x14ac:dyDescent="0.3">
      <c r="A159" s="243" t="str">
        <f t="shared" ca="1" si="2"/>
        <v>Défis (prochaine période)</v>
      </c>
      <c r="B159" s="239"/>
      <c r="C159" s="244" t="s">
        <v>1294</v>
      </c>
      <c r="D159" s="244" t="s">
        <v>1656</v>
      </c>
      <c r="E159" s="244" t="s">
        <v>1295</v>
      </c>
      <c r="F159" s="218" t="s">
        <v>1296</v>
      </c>
    </row>
    <row r="160" spans="1:6" x14ac:dyDescent="0.3">
      <c r="A160" s="243" t="str">
        <f t="shared" ca="1" si="2"/>
        <v>PLAN</v>
      </c>
      <c r="B160" s="239"/>
      <c r="C160" s="244" t="s">
        <v>209</v>
      </c>
      <c r="D160" s="244" t="s">
        <v>209</v>
      </c>
      <c r="E160" s="244" t="s">
        <v>209</v>
      </c>
      <c r="F160" s="218" t="s">
        <v>634</v>
      </c>
    </row>
    <row r="161" spans="1:6" x14ac:dyDescent="0.3">
      <c r="A161" s="243" t="str">
        <f t="shared" ca="1" si="2"/>
        <v>RÉEL</v>
      </c>
      <c r="B161" s="239"/>
      <c r="C161" s="244" t="s">
        <v>0</v>
      </c>
      <c r="D161" s="244" t="s">
        <v>210</v>
      </c>
      <c r="E161" s="244" t="s">
        <v>799</v>
      </c>
      <c r="F161" s="218" t="s">
        <v>635</v>
      </c>
    </row>
    <row r="162" spans="1:6" x14ac:dyDescent="0.3">
      <c r="A162" s="243" t="str">
        <f t="shared" ca="1" si="2"/>
        <v>SOLDE</v>
      </c>
      <c r="B162" s="239"/>
      <c r="C162" s="244" t="s">
        <v>31</v>
      </c>
      <c r="D162" s="244" t="s">
        <v>118</v>
      </c>
      <c r="E162" s="244" t="s">
        <v>800</v>
      </c>
      <c r="F162" s="218" t="s">
        <v>31</v>
      </c>
    </row>
    <row r="163" spans="1:6" x14ac:dyDescent="0.3">
      <c r="A163" s="243" t="str">
        <f t="shared" ca="1" si="2"/>
        <v>en %</v>
      </c>
      <c r="B163" s="239"/>
      <c r="C163" s="244" t="s">
        <v>32</v>
      </c>
      <c r="D163" s="244" t="s">
        <v>119</v>
      </c>
      <c r="E163" s="244" t="s">
        <v>801</v>
      </c>
      <c r="F163" s="218" t="s">
        <v>624</v>
      </c>
    </row>
    <row r="164" spans="1:6" x14ac:dyDescent="0.3">
      <c r="A164" s="245" t="str">
        <f t="shared" ca="1" si="2"/>
        <v>Voir mandat</v>
      </c>
      <c r="B164" s="239"/>
      <c r="C164" s="246" t="s">
        <v>962</v>
      </c>
      <c r="D164" s="246" t="s">
        <v>963</v>
      </c>
      <c r="E164" s="246" t="s">
        <v>964</v>
      </c>
      <c r="F164" s="247" t="s">
        <v>965</v>
      </c>
    </row>
    <row r="165" spans="1:6" x14ac:dyDescent="0.3">
      <c r="A165" s="245" t="str">
        <f t="shared" ca="1" si="2"/>
        <v>Objectifs du projet (cf. mandat)</v>
      </c>
      <c r="B165" s="239"/>
      <c r="C165" s="246" t="s">
        <v>1153</v>
      </c>
      <c r="D165" s="246" t="s">
        <v>1156</v>
      </c>
      <c r="E165" s="246" t="s">
        <v>1154</v>
      </c>
      <c r="F165" s="247" t="s">
        <v>1155</v>
      </c>
    </row>
    <row r="166" spans="1:6" x14ac:dyDescent="0.3">
      <c r="A166" s="245" t="str">
        <f t="shared" ca="1" si="2"/>
        <v>Prochain jalon :</v>
      </c>
      <c r="B166" s="239"/>
      <c r="C166" s="246" t="s">
        <v>1519</v>
      </c>
      <c r="D166" s="244" t="s">
        <v>1520</v>
      </c>
      <c r="E166" s="244" t="s">
        <v>1521</v>
      </c>
      <c r="F166" s="218" t="s">
        <v>1522</v>
      </c>
    </row>
    <row r="167" spans="1:6" s="252" customFormat="1" x14ac:dyDescent="0.3">
      <c r="A167" s="250" t="str">
        <f t="shared" ca="1" si="2"/>
        <v>R A P P O R T   F I N A L</v>
      </c>
      <c r="B167" s="251"/>
      <c r="C167" s="233" t="s">
        <v>357</v>
      </c>
      <c r="D167" s="233" t="s">
        <v>358</v>
      </c>
      <c r="E167" s="233" t="s">
        <v>802</v>
      </c>
      <c r="F167" s="234" t="s">
        <v>524</v>
      </c>
    </row>
    <row r="168" spans="1:6" x14ac:dyDescent="0.3">
      <c r="A168" s="238" t="str">
        <f t="shared" ca="1" si="2"/>
        <v>Projet couronné de succès ?</v>
      </c>
      <c r="B168" s="239"/>
      <c r="C168" s="241" t="s">
        <v>33</v>
      </c>
      <c r="D168" s="241" t="s">
        <v>120</v>
      </c>
      <c r="E168" s="241" t="s">
        <v>913</v>
      </c>
      <c r="F168" s="242" t="s">
        <v>636</v>
      </c>
    </row>
    <row r="169" spans="1:6" x14ac:dyDescent="0.3">
      <c r="A169" s="243" t="str">
        <f t="shared" ca="1" si="2"/>
        <v>oui</v>
      </c>
      <c r="B169" s="239"/>
      <c r="C169" s="244" t="s">
        <v>168</v>
      </c>
      <c r="D169" s="244" t="s">
        <v>169</v>
      </c>
      <c r="E169" s="244" t="s">
        <v>783</v>
      </c>
      <c r="F169" s="218" t="s">
        <v>618</v>
      </c>
    </row>
    <row r="170" spans="1:6" x14ac:dyDescent="0.3">
      <c r="A170" s="243" t="str">
        <f t="shared" ca="1" si="2"/>
        <v>Justification:</v>
      </c>
      <c r="B170" s="239"/>
      <c r="C170" s="244" t="s">
        <v>34</v>
      </c>
      <c r="D170" s="244" t="s">
        <v>123</v>
      </c>
      <c r="E170" s="244" t="s">
        <v>803</v>
      </c>
      <c r="F170" s="218" t="s">
        <v>637</v>
      </c>
    </row>
    <row r="171" spans="1:6" x14ac:dyDescent="0.3">
      <c r="A171" s="243" t="str">
        <f t="shared" ca="1" si="2"/>
        <v>Est-ce que tous les objectifs ont été atteints?</v>
      </c>
      <c r="B171" s="239"/>
      <c r="C171" s="244" t="s">
        <v>35</v>
      </c>
      <c r="D171" s="244" t="s">
        <v>121</v>
      </c>
      <c r="E171" s="244" t="s">
        <v>804</v>
      </c>
      <c r="F171" s="218" t="s">
        <v>638</v>
      </c>
    </row>
    <row r="172" spans="1:6" x14ac:dyDescent="0.3">
      <c r="A172" s="243" t="str">
        <f t="shared" ca="1" si="2"/>
        <v>partiellement</v>
      </c>
      <c r="B172" s="239"/>
      <c r="C172" s="244" t="s">
        <v>170</v>
      </c>
      <c r="D172" s="244" t="s">
        <v>171</v>
      </c>
      <c r="E172" s="244" t="s">
        <v>805</v>
      </c>
      <c r="F172" s="218" t="s">
        <v>639</v>
      </c>
    </row>
    <row r="173" spans="1:6" x14ac:dyDescent="0.3">
      <c r="A173" s="243" t="str">
        <f t="shared" ca="1" si="2"/>
        <v>Le budget a-t-il été respecté ?</v>
      </c>
      <c r="B173" s="239"/>
      <c r="C173" s="244" t="s">
        <v>36</v>
      </c>
      <c r="D173" s="244" t="s">
        <v>122</v>
      </c>
      <c r="E173" s="244" t="s">
        <v>806</v>
      </c>
      <c r="F173" s="218" t="s">
        <v>640</v>
      </c>
    </row>
    <row r="174" spans="1:6" x14ac:dyDescent="0.3">
      <c r="A174" s="243" t="str">
        <f t="shared" ca="1" si="2"/>
        <v>non</v>
      </c>
      <c r="B174" s="239"/>
      <c r="C174" s="244" t="s">
        <v>172</v>
      </c>
      <c r="D174" s="244" t="s">
        <v>173</v>
      </c>
      <c r="E174" s="244" t="s">
        <v>641</v>
      </c>
      <c r="F174" s="218" t="s">
        <v>641</v>
      </c>
    </row>
    <row r="175" spans="1:6" x14ac:dyDescent="0.3">
      <c r="A175" s="243" t="str">
        <f t="shared" ca="1" si="2"/>
        <v>Autres remarques</v>
      </c>
      <c r="B175" s="239"/>
      <c r="C175" s="244" t="s">
        <v>931</v>
      </c>
      <c r="D175" s="244" t="s">
        <v>932</v>
      </c>
      <c r="E175" s="244" t="s">
        <v>933</v>
      </c>
      <c r="F175" s="218" t="s">
        <v>934</v>
      </c>
    </row>
    <row r="176" spans="1:6" ht="27.6" x14ac:dyDescent="0.3">
      <c r="A176" s="245" t="str">
        <f t="shared" ca="1" si="2"/>
        <v>Quels sont les enseignements tirés du projet ? (Lessons Learned)</v>
      </c>
      <c r="B176" s="239"/>
      <c r="C176" s="246" t="s">
        <v>1297</v>
      </c>
      <c r="D176" s="246" t="s">
        <v>1298</v>
      </c>
      <c r="E176" s="246" t="s">
        <v>1299</v>
      </c>
      <c r="F176" s="247" t="s">
        <v>1300</v>
      </c>
    </row>
    <row r="177" spans="1:6" s="252" customFormat="1" x14ac:dyDescent="0.3">
      <c r="A177" s="250" t="str">
        <f t="shared" ca="1" si="2"/>
        <v>E Q U I P E  D E  P R O J E T</v>
      </c>
      <c r="B177" s="251"/>
      <c r="C177" s="233" t="s">
        <v>360</v>
      </c>
      <c r="D177" s="233" t="s">
        <v>359</v>
      </c>
      <c r="E177" s="233" t="s">
        <v>807</v>
      </c>
      <c r="F177" s="234" t="s">
        <v>525</v>
      </c>
    </row>
    <row r="178" spans="1:6" x14ac:dyDescent="0.3">
      <c r="A178" s="238" t="str">
        <f t="shared" ca="1" si="2"/>
        <v>Nom</v>
      </c>
      <c r="B178" s="239"/>
      <c r="C178" s="241" t="s">
        <v>55</v>
      </c>
      <c r="D178" s="241" t="s">
        <v>125</v>
      </c>
      <c r="E178" s="241" t="s">
        <v>55</v>
      </c>
      <c r="F178" s="242" t="s">
        <v>642</v>
      </c>
    </row>
    <row r="179" spans="1:6" x14ac:dyDescent="0.3">
      <c r="A179" s="243" t="str">
        <f t="shared" ca="1" si="2"/>
        <v>Prénom</v>
      </c>
      <c r="B179" s="239"/>
      <c r="C179" s="244" t="s">
        <v>56</v>
      </c>
      <c r="D179" s="244" t="s">
        <v>126</v>
      </c>
      <c r="E179" s="244" t="s">
        <v>808</v>
      </c>
      <c r="F179" s="218" t="s">
        <v>548</v>
      </c>
    </row>
    <row r="180" spans="1:6" x14ac:dyDescent="0.3">
      <c r="A180" s="243" t="str">
        <f t="shared" ca="1" si="2"/>
        <v>Abrév.</v>
      </c>
      <c r="B180" s="239"/>
      <c r="C180" s="244" t="s">
        <v>57</v>
      </c>
      <c r="D180" s="244" t="s">
        <v>196</v>
      </c>
      <c r="E180" s="244" t="s">
        <v>809</v>
      </c>
      <c r="F180" s="218" t="s">
        <v>643</v>
      </c>
    </row>
    <row r="181" spans="1:6" x14ac:dyDescent="0.3">
      <c r="A181" s="243" t="str">
        <f t="shared" ca="1" si="2"/>
        <v>interne</v>
      </c>
      <c r="B181" s="257"/>
      <c r="C181" s="256" t="s">
        <v>1103</v>
      </c>
      <c r="D181" s="256" t="s">
        <v>1104</v>
      </c>
      <c r="E181" s="256" t="s">
        <v>1103</v>
      </c>
      <c r="F181" s="218" t="s">
        <v>1105</v>
      </c>
    </row>
    <row r="182" spans="1:6" x14ac:dyDescent="0.3">
      <c r="A182" s="243" t="str">
        <f t="shared" ca="1" si="2"/>
        <v>e-mail</v>
      </c>
      <c r="B182" s="239"/>
      <c r="C182" s="244" t="s">
        <v>58</v>
      </c>
      <c r="D182" s="244" t="s">
        <v>58</v>
      </c>
      <c r="E182" s="244" t="s">
        <v>810</v>
      </c>
      <c r="F182" s="218" t="s">
        <v>644</v>
      </c>
    </row>
    <row r="183" spans="1:6" x14ac:dyDescent="0.3">
      <c r="A183" s="243" t="str">
        <f t="shared" ca="1" si="2"/>
        <v>Téléphone</v>
      </c>
      <c r="B183" s="239"/>
      <c r="C183" s="244" t="s">
        <v>59</v>
      </c>
      <c r="D183" s="244" t="s">
        <v>1064</v>
      </c>
      <c r="E183" s="244" t="s">
        <v>811</v>
      </c>
      <c r="F183" s="218" t="s">
        <v>645</v>
      </c>
    </row>
    <row r="184" spans="1:6" x14ac:dyDescent="0.3">
      <c r="A184" s="243" t="str">
        <f t="shared" ca="1" si="2"/>
        <v>Tarif horaire</v>
      </c>
      <c r="B184" s="239"/>
      <c r="C184" s="244" t="s">
        <v>1157</v>
      </c>
      <c r="D184" s="244" t="s">
        <v>1158</v>
      </c>
      <c r="E184" s="244" t="s">
        <v>1159</v>
      </c>
      <c r="F184" s="218" t="s">
        <v>1160</v>
      </c>
    </row>
    <row r="185" spans="1:6" x14ac:dyDescent="0.3">
      <c r="A185" s="243" t="str">
        <f t="shared" ca="1" si="2"/>
        <v>BUDGET</v>
      </c>
      <c r="B185" s="257"/>
      <c r="C185" s="256" t="s">
        <v>1143</v>
      </c>
      <c r="D185" s="256" t="s">
        <v>1143</v>
      </c>
      <c r="E185" s="256" t="s">
        <v>1143</v>
      </c>
      <c r="F185" s="218" t="s">
        <v>1143</v>
      </c>
    </row>
    <row r="186" spans="1:6" x14ac:dyDescent="0.3">
      <c r="A186" s="243" t="str">
        <f t="shared" ca="1" si="2"/>
        <v>heures budget</v>
      </c>
      <c r="B186" s="239"/>
      <c r="C186" s="244" t="s">
        <v>1699</v>
      </c>
      <c r="D186" s="244" t="s">
        <v>1700</v>
      </c>
      <c r="E186" s="244" t="s">
        <v>1701</v>
      </c>
      <c r="F186" s="218" t="s">
        <v>1702</v>
      </c>
    </row>
    <row r="187" spans="1:6" x14ac:dyDescent="0.3">
      <c r="A187" s="243" t="str">
        <f t="shared" ca="1" si="2"/>
        <v>heures attribuées</v>
      </c>
      <c r="B187" s="239"/>
      <c r="C187" s="244" t="s">
        <v>1695</v>
      </c>
      <c r="D187" s="244" t="s">
        <v>1696</v>
      </c>
      <c r="E187" s="244" t="s">
        <v>1697</v>
      </c>
      <c r="F187" s="218" t="s">
        <v>1698</v>
      </c>
    </row>
    <row r="188" spans="1:6" x14ac:dyDescent="0.3">
      <c r="A188" s="243" t="str">
        <f t="shared" ca="1" si="2"/>
        <v>heures réalisées</v>
      </c>
      <c r="B188" s="253"/>
      <c r="C188" s="244" t="s">
        <v>1684</v>
      </c>
      <c r="D188" s="217" t="s">
        <v>1685</v>
      </c>
      <c r="E188" s="217" t="s">
        <v>1687</v>
      </c>
      <c r="F188" s="218" t="s">
        <v>1686</v>
      </c>
    </row>
    <row r="189" spans="1:6" x14ac:dyDescent="0.3">
      <c r="A189" s="243" t="str">
        <f t="shared" ca="1" si="2"/>
        <v>[CHF]</v>
      </c>
      <c r="B189" s="239"/>
      <c r="C189" s="244" t="str">
        <f>"["&amp;Logo!$D$13&amp;"]"</f>
        <v>[CHF]</v>
      </c>
      <c r="D189" s="244" t="str">
        <f>"["&amp;Logo!$D$13&amp;"]"</f>
        <v>[CHF]</v>
      </c>
      <c r="E189" s="244" t="str">
        <f>"["&amp;Logo!$D$13&amp;"]"</f>
        <v>[CHF]</v>
      </c>
      <c r="F189" s="218" t="str">
        <f>"["&amp;Logo!$D$13&amp;"]"</f>
        <v>[CHF]</v>
      </c>
    </row>
    <row r="190" spans="1:6" x14ac:dyDescent="0.3">
      <c r="A190" s="243" t="str">
        <f t="shared" ca="1" si="2"/>
        <v>Absences/Remarques</v>
      </c>
      <c r="B190" s="239"/>
      <c r="C190" s="244" t="s">
        <v>211</v>
      </c>
      <c r="D190" s="244" t="s">
        <v>212</v>
      </c>
      <c r="E190" s="244" t="s">
        <v>812</v>
      </c>
      <c r="F190" s="218" t="s">
        <v>646</v>
      </c>
    </row>
    <row r="191" spans="1:6" x14ac:dyDescent="0.3">
      <c r="A191" s="243" t="str">
        <f t="shared" ca="1" si="2"/>
        <v>Total interne</v>
      </c>
      <c r="B191" s="257"/>
      <c r="C191" s="256" t="s">
        <v>1110</v>
      </c>
      <c r="D191" s="256" t="s">
        <v>1111</v>
      </c>
      <c r="E191" s="256" t="s">
        <v>1110</v>
      </c>
      <c r="F191" s="218" t="s">
        <v>1112</v>
      </c>
    </row>
    <row r="192" spans="1:6" x14ac:dyDescent="0.3">
      <c r="A192" s="243" t="str">
        <f t="shared" ca="1" si="2"/>
        <v>Total externe</v>
      </c>
      <c r="B192" s="257"/>
      <c r="C192" s="256" t="s">
        <v>1113</v>
      </c>
      <c r="D192" s="256" t="s">
        <v>1164</v>
      </c>
      <c r="E192" s="256" t="s">
        <v>1113</v>
      </c>
      <c r="F192" s="218" t="s">
        <v>1114</v>
      </c>
    </row>
    <row r="193" spans="1:6" x14ac:dyDescent="0.3">
      <c r="A193" s="243" t="str">
        <f t="shared" ca="1" si="2"/>
        <v>TOTAL</v>
      </c>
      <c r="B193" s="239"/>
      <c r="C193" s="244" t="s">
        <v>1108</v>
      </c>
      <c r="D193" s="244" t="s">
        <v>1108</v>
      </c>
      <c r="E193" s="244" t="s">
        <v>1108</v>
      </c>
      <c r="F193" s="218" t="s">
        <v>1109</v>
      </c>
    </row>
    <row r="194" spans="1:6" x14ac:dyDescent="0.3">
      <c r="A194" s="245" t="str">
        <f t="shared" ca="1" si="2"/>
        <v>Fonction</v>
      </c>
      <c r="B194" s="239"/>
      <c r="C194" s="246" t="s">
        <v>197</v>
      </c>
      <c r="D194" s="246" t="s">
        <v>914</v>
      </c>
      <c r="E194" s="246" t="s">
        <v>813</v>
      </c>
      <c r="F194" s="247" t="s">
        <v>647</v>
      </c>
    </row>
    <row r="195" spans="1:6" x14ac:dyDescent="0.3">
      <c r="A195" s="245" t="str">
        <f t="shared" ca="1" si="2"/>
        <v>SOLDE [CHF]</v>
      </c>
      <c r="B195" s="239"/>
      <c r="C195" s="244" t="str">
        <f>"SALDO"&amp;" ["&amp;Logo!$D$13&amp;"]"</f>
        <v>SALDO [CHF]</v>
      </c>
      <c r="D195" s="244" t="str">
        <f>"SOLDE"&amp;" ["&amp;Logo!$D$13&amp;"]"</f>
        <v>SOLDE [CHF]</v>
      </c>
      <c r="E195" s="244" t="str">
        <f>"BALANCE"&amp;" ["&amp;Logo!$D$13&amp;"]"</f>
        <v>BALANCE [CHF]</v>
      </c>
      <c r="F195" s="218" t="str">
        <f>"SALDO"&amp;" ["&amp;Logo!$D$13&amp;"]"</f>
        <v>SALDO [CHF]</v>
      </c>
    </row>
    <row r="196" spans="1:6" x14ac:dyDescent="0.3">
      <c r="A196" s="245" t="str">
        <f t="shared" ca="1" si="2"/>
        <v>SOLDE</v>
      </c>
      <c r="B196" s="258"/>
      <c r="C196" s="244" t="s">
        <v>31</v>
      </c>
      <c r="D196" s="244" t="s">
        <v>118</v>
      </c>
      <c r="E196" s="244" t="s">
        <v>800</v>
      </c>
      <c r="F196" s="218" t="s">
        <v>31</v>
      </c>
    </row>
    <row r="197" spans="1:6" x14ac:dyDescent="0.3">
      <c r="A197" s="245" t="str">
        <f t="shared" ca="1" si="2"/>
        <v>budget [h]</v>
      </c>
      <c r="B197" s="239"/>
      <c r="C197" s="244" t="s">
        <v>1148</v>
      </c>
      <c r="D197" s="244" t="s">
        <v>1186</v>
      </c>
      <c r="E197" s="244" t="s">
        <v>1148</v>
      </c>
      <c r="F197" s="218" t="s">
        <v>1148</v>
      </c>
    </row>
    <row r="198" spans="1:6" x14ac:dyDescent="0.3">
      <c r="A198" s="245" t="str">
        <f t="shared" ca="1" si="2"/>
        <v>réalisées [h]</v>
      </c>
      <c r="B198" s="239"/>
      <c r="C198" s="244" t="s">
        <v>1149</v>
      </c>
      <c r="D198" s="244" t="s">
        <v>1150</v>
      </c>
      <c r="E198" s="244" t="s">
        <v>1151</v>
      </c>
      <c r="F198" s="218" t="s">
        <v>1152</v>
      </c>
    </row>
    <row r="199" spans="1:6" x14ac:dyDescent="0.3">
      <c r="A199" s="245" t="str">
        <f t="shared" ca="1" si="2"/>
        <v>solde budget [h]</v>
      </c>
      <c r="B199" s="239"/>
      <c r="C199" s="246" t="s">
        <v>1182</v>
      </c>
      <c r="D199" s="246" t="s">
        <v>1183</v>
      </c>
      <c r="E199" s="246" t="s">
        <v>1184</v>
      </c>
      <c r="F199" s="247" t="s">
        <v>1185</v>
      </c>
    </row>
    <row r="200" spans="1:6" s="252" customFormat="1" x14ac:dyDescent="0.3">
      <c r="A200" s="250" t="str">
        <f t="shared" ca="1" si="2"/>
        <v>B U D G E T</v>
      </c>
      <c r="B200" s="251"/>
      <c r="C200" s="233" t="s">
        <v>216</v>
      </c>
      <c r="D200" s="233" t="s">
        <v>216</v>
      </c>
      <c r="E200" s="233" t="s">
        <v>814</v>
      </c>
      <c r="F200" s="234" t="s">
        <v>216</v>
      </c>
    </row>
    <row r="201" spans="1:6" x14ac:dyDescent="0.3">
      <c r="A201" s="238" t="str">
        <f t="shared" ca="1" si="2"/>
        <v>Ressources internes</v>
      </c>
      <c r="B201" s="239"/>
      <c r="C201" s="241" t="s">
        <v>1470</v>
      </c>
      <c r="D201" s="241" t="s">
        <v>1469</v>
      </c>
      <c r="E201" s="241" t="s">
        <v>1471</v>
      </c>
      <c r="F201" s="242" t="s">
        <v>1492</v>
      </c>
    </row>
    <row r="202" spans="1:6" x14ac:dyDescent="0.3">
      <c r="A202" s="243" t="str">
        <f t="shared" ca="1" si="2"/>
        <v>Libellé</v>
      </c>
      <c r="B202" s="239"/>
      <c r="C202" s="244" t="s">
        <v>427</v>
      </c>
      <c r="D202" s="244" t="s">
        <v>130</v>
      </c>
      <c r="E202" s="244" t="s">
        <v>815</v>
      </c>
      <c r="F202" s="218" t="s">
        <v>648</v>
      </c>
    </row>
    <row r="203" spans="1:6" x14ac:dyDescent="0.3">
      <c r="A203" s="243" t="str">
        <f t="shared" ca="1" si="2"/>
        <v>Prix unitaire</v>
      </c>
      <c r="B203" s="239"/>
      <c r="C203" s="244" t="s">
        <v>127</v>
      </c>
      <c r="D203" s="244" t="s">
        <v>129</v>
      </c>
      <c r="E203" s="244" t="s">
        <v>816</v>
      </c>
      <c r="F203" s="218" t="s">
        <v>649</v>
      </c>
    </row>
    <row r="204" spans="1:6" x14ac:dyDescent="0.3">
      <c r="A204" s="243" t="str">
        <f t="shared" ca="1" si="2"/>
        <v>Nb.</v>
      </c>
      <c r="B204" s="239"/>
      <c r="C204" s="244" t="s">
        <v>60</v>
      </c>
      <c r="D204" s="244" t="s">
        <v>915</v>
      </c>
      <c r="E204" s="244" t="s">
        <v>817</v>
      </c>
      <c r="F204" s="218" t="s">
        <v>650</v>
      </c>
    </row>
    <row r="205" spans="1:6" x14ac:dyDescent="0.3">
      <c r="A205" s="243" t="str">
        <f t="shared" ca="1" si="2"/>
        <v>Coûts (internes)</v>
      </c>
      <c r="B205" s="239"/>
      <c r="C205" s="244" t="s">
        <v>1494</v>
      </c>
      <c r="D205" s="244" t="s">
        <v>215</v>
      </c>
      <c r="E205" s="244" t="s">
        <v>818</v>
      </c>
      <c r="F205" s="218" t="s">
        <v>651</v>
      </c>
    </row>
    <row r="206" spans="1:6" x14ac:dyDescent="0.3">
      <c r="A206" s="243" t="str">
        <f t="shared" ca="1" si="2"/>
        <v>Remarques</v>
      </c>
      <c r="B206" s="239"/>
      <c r="C206" s="244" t="s">
        <v>22</v>
      </c>
      <c r="D206" s="244" t="s">
        <v>128</v>
      </c>
      <c r="E206" s="244" t="s">
        <v>798</v>
      </c>
      <c r="F206" s="218" t="s">
        <v>633</v>
      </c>
    </row>
    <row r="207" spans="1:6" x14ac:dyDescent="0.3">
      <c r="A207" s="243" t="str">
        <f t="shared" ref="A207:A270" ca="1" si="3">OFFSET($C207,0,$B$4-1)</f>
        <v>Ressources externes</v>
      </c>
      <c r="B207" s="239"/>
      <c r="C207" s="244" t="s">
        <v>1476</v>
      </c>
      <c r="D207" s="244" t="s">
        <v>1475</v>
      </c>
      <c r="E207" s="244" t="s">
        <v>1474</v>
      </c>
      <c r="F207" s="218" t="s">
        <v>1472</v>
      </c>
    </row>
    <row r="208" spans="1:6" x14ac:dyDescent="0.3">
      <c r="A208" s="243" t="str">
        <f t="shared" ca="1" si="3"/>
        <v>Ressources (externes)</v>
      </c>
      <c r="B208" s="239"/>
      <c r="C208" s="244" t="s">
        <v>1495</v>
      </c>
      <c r="D208" s="244" t="s">
        <v>1503</v>
      </c>
      <c r="E208" s="244" t="s">
        <v>1504</v>
      </c>
      <c r="F208" s="218" t="s">
        <v>1505</v>
      </c>
    </row>
    <row r="209" spans="1:6" x14ac:dyDescent="0.3">
      <c r="A209" s="243" t="str">
        <f t="shared" ca="1" si="3"/>
        <v xml:space="preserve">Financement externe </v>
      </c>
      <c r="B209" s="239"/>
      <c r="C209" s="244" t="s">
        <v>1069</v>
      </c>
      <c r="D209" s="244" t="s">
        <v>1070</v>
      </c>
      <c r="E209" s="244" t="s">
        <v>1071</v>
      </c>
      <c r="F209" s="218" t="s">
        <v>1072</v>
      </c>
    </row>
    <row r="210" spans="1:6" ht="27.6" x14ac:dyDescent="0.3">
      <c r="A210" s="243" t="str">
        <f t="shared" ca="1" si="3"/>
        <v>Financement externe (p.ex. clients, subventions etc.)</v>
      </c>
      <c r="B210" s="239"/>
      <c r="C210" s="244" t="s">
        <v>1484</v>
      </c>
      <c r="D210" s="244" t="s">
        <v>1481</v>
      </c>
      <c r="E210" s="244" t="s">
        <v>1482</v>
      </c>
      <c r="F210" s="218" t="s">
        <v>1483</v>
      </c>
    </row>
    <row r="211" spans="1:6" x14ac:dyDescent="0.3">
      <c r="A211" s="243" t="str">
        <f t="shared" ca="1" si="3"/>
        <v>TOTAL ressources externes</v>
      </c>
      <c r="B211" s="239"/>
      <c r="C211" s="244" t="s">
        <v>1496</v>
      </c>
      <c r="D211" s="244" t="s">
        <v>1497</v>
      </c>
      <c r="E211" s="244" t="s">
        <v>1499</v>
      </c>
      <c r="F211" s="218" t="s">
        <v>1506</v>
      </c>
    </row>
    <row r="212" spans="1:6" x14ac:dyDescent="0.3">
      <c r="A212" s="243" t="str">
        <f t="shared" ca="1" si="3"/>
        <v>TOTAL ressources internes</v>
      </c>
      <c r="B212" s="239"/>
      <c r="C212" s="244" t="s">
        <v>1493</v>
      </c>
      <c r="D212" s="244" t="s">
        <v>1498</v>
      </c>
      <c r="E212" s="244" t="s">
        <v>1500</v>
      </c>
      <c r="F212" s="218" t="s">
        <v>1507</v>
      </c>
    </row>
    <row r="213" spans="1:6" x14ac:dyDescent="0.3">
      <c r="A213" s="243" t="str">
        <f t="shared" ca="1" si="3"/>
        <v>TOTAL financement externe</v>
      </c>
      <c r="B213" s="239"/>
      <c r="C213" s="244" t="s">
        <v>1065</v>
      </c>
      <c r="D213" s="244" t="s">
        <v>1066</v>
      </c>
      <c r="E213" s="244" t="s">
        <v>1067</v>
      </c>
      <c r="F213" s="218" t="s">
        <v>1068</v>
      </c>
    </row>
    <row r="214" spans="1:6" x14ac:dyDescent="0.3">
      <c r="A214" s="243" t="str">
        <f t="shared" ca="1" si="3"/>
        <v>Charges de personnel (internes)</v>
      </c>
      <c r="B214" s="239"/>
      <c r="C214" s="244" t="s">
        <v>1508</v>
      </c>
      <c r="D214" s="244" t="s">
        <v>1062</v>
      </c>
      <c r="E214" s="244" t="s">
        <v>1501</v>
      </c>
      <c r="F214" s="218" t="s">
        <v>1063</v>
      </c>
    </row>
    <row r="215" spans="1:6" x14ac:dyDescent="0.3">
      <c r="A215" s="243" t="str">
        <f t="shared" ca="1" si="3"/>
        <v>Charges de personnel (externes)</v>
      </c>
      <c r="B215" s="257"/>
      <c r="C215" s="244" t="s">
        <v>1509</v>
      </c>
      <c r="D215" s="244" t="s">
        <v>1106</v>
      </c>
      <c r="E215" s="244" t="s">
        <v>1502</v>
      </c>
      <c r="F215" s="218" t="s">
        <v>1107</v>
      </c>
    </row>
    <row r="216" spans="1:6" x14ac:dyDescent="0.3">
      <c r="A216" s="243" t="str">
        <f t="shared" ca="1" si="3"/>
        <v>TOTAL RESSOURCES</v>
      </c>
      <c r="B216" s="239"/>
      <c r="C216" s="244" t="s">
        <v>1477</v>
      </c>
      <c r="D216" s="244" t="s">
        <v>1478</v>
      </c>
      <c r="E216" s="244" t="s">
        <v>1479</v>
      </c>
      <c r="F216" s="218" t="s">
        <v>1480</v>
      </c>
    </row>
    <row r="217" spans="1:6" x14ac:dyDescent="0.3">
      <c r="A217" s="243" t="str">
        <f t="shared" ca="1" si="3"/>
        <v>Plan</v>
      </c>
      <c r="B217" s="239"/>
      <c r="C217" s="244" t="s">
        <v>218</v>
      </c>
      <c r="D217" s="244" t="s">
        <v>218</v>
      </c>
      <c r="E217" s="244" t="s">
        <v>218</v>
      </c>
      <c r="F217" s="218" t="s">
        <v>552</v>
      </c>
    </row>
    <row r="218" spans="1:6" x14ac:dyDescent="0.3">
      <c r="A218" s="243" t="str">
        <f t="shared" ca="1" si="3"/>
        <v>Réel</v>
      </c>
      <c r="B218" s="239"/>
      <c r="C218" s="244" t="s">
        <v>220</v>
      </c>
      <c r="D218" s="244" t="s">
        <v>219</v>
      </c>
      <c r="E218" s="244" t="s">
        <v>819</v>
      </c>
      <c r="F218" s="218" t="s">
        <v>519</v>
      </c>
    </row>
    <row r="219" spans="1:6" x14ac:dyDescent="0.3">
      <c r="A219" s="245" t="str">
        <f t="shared" ca="1" si="3"/>
        <v>Solde</v>
      </c>
      <c r="B219" s="239"/>
      <c r="C219" s="246" t="s">
        <v>221</v>
      </c>
      <c r="D219" s="246" t="s">
        <v>222</v>
      </c>
      <c r="E219" s="246" t="s">
        <v>820</v>
      </c>
      <c r="F219" s="247" t="s">
        <v>221</v>
      </c>
    </row>
    <row r="220" spans="1:6" s="252" customFormat="1" x14ac:dyDescent="0.3">
      <c r="A220" s="259" t="str">
        <f t="shared" ca="1" si="3"/>
        <v>Messages d'erreurs</v>
      </c>
      <c r="B220" s="251"/>
      <c r="C220" s="233" t="s">
        <v>176</v>
      </c>
      <c r="D220" s="233" t="s">
        <v>177</v>
      </c>
      <c r="E220" s="233" t="s">
        <v>821</v>
      </c>
      <c r="F220" s="234" t="s">
        <v>516</v>
      </c>
    </row>
    <row r="221" spans="1:6" ht="27.6" x14ac:dyDescent="0.3">
      <c r="A221" s="260" t="str">
        <f t="shared" ca="1" si="3"/>
        <v>Veuillez s.v.p. saisir la date du début du projet dans le mandat!!</v>
      </c>
      <c r="B221" s="261"/>
      <c r="C221" s="241" t="s">
        <v>178</v>
      </c>
      <c r="D221" s="241" t="s">
        <v>179</v>
      </c>
      <c r="E221" s="241" t="s">
        <v>822</v>
      </c>
      <c r="F221" s="242" t="s">
        <v>652</v>
      </c>
    </row>
    <row r="222" spans="1:6" x14ac:dyDescent="0.3">
      <c r="A222" s="262" t="str">
        <f t="shared" ca="1" si="3"/>
        <v>Fin</v>
      </c>
      <c r="B222" s="261"/>
      <c r="C222" s="244" t="s">
        <v>66</v>
      </c>
      <c r="D222" s="244" t="s">
        <v>105</v>
      </c>
      <c r="E222" s="244" t="s">
        <v>775</v>
      </c>
      <c r="F222" s="218" t="s">
        <v>611</v>
      </c>
    </row>
    <row r="223" spans="1:6" x14ac:dyDescent="0.3">
      <c r="A223" s="263">
        <f t="shared" ca="1" si="3"/>
        <v>0</v>
      </c>
      <c r="B223" s="261"/>
      <c r="C223" s="246"/>
      <c r="D223" s="246"/>
      <c r="E223" s="246" t="s">
        <v>823</v>
      </c>
      <c r="F223" s="247"/>
    </row>
    <row r="224" spans="1:6" s="252" customFormat="1" x14ac:dyDescent="0.3">
      <c r="A224" s="259" t="str">
        <f t="shared" ca="1" si="3"/>
        <v>C O N C E P T   S O M M A I R E</v>
      </c>
      <c r="B224" s="251"/>
      <c r="C224" s="233" t="s">
        <v>361</v>
      </c>
      <c r="D224" s="233" t="s">
        <v>362</v>
      </c>
      <c r="E224" s="233" t="s">
        <v>824</v>
      </c>
      <c r="F224" s="234" t="s">
        <v>716</v>
      </c>
    </row>
    <row r="225" spans="1:6" x14ac:dyDescent="0.3">
      <c r="A225" s="260" t="str">
        <f t="shared" ca="1" si="3"/>
        <v>Table des matières</v>
      </c>
      <c r="B225" s="261"/>
      <c r="C225" s="241" t="s">
        <v>256</v>
      </c>
      <c r="D225" s="241" t="s">
        <v>255</v>
      </c>
      <c r="E225" s="241" t="s">
        <v>825</v>
      </c>
      <c r="F225" s="242" t="s">
        <v>653</v>
      </c>
    </row>
    <row r="226" spans="1:6" x14ac:dyDescent="0.3">
      <c r="A226" s="262" t="str">
        <f t="shared" ca="1" si="3"/>
        <v>Management Summary</v>
      </c>
      <c r="B226" s="261"/>
      <c r="C226" s="244" t="s">
        <v>228</v>
      </c>
      <c r="D226" s="244" t="s">
        <v>228</v>
      </c>
      <c r="E226" s="244" t="s">
        <v>826</v>
      </c>
      <c r="F226" s="218" t="s">
        <v>228</v>
      </c>
    </row>
    <row r="227" spans="1:6" x14ac:dyDescent="0.3">
      <c r="A227" s="262" t="str">
        <f t="shared" ca="1" si="3"/>
        <v>Situation de départ</v>
      </c>
      <c r="B227" s="261"/>
      <c r="C227" s="244" t="s">
        <v>229</v>
      </c>
      <c r="D227" s="244" t="s">
        <v>257</v>
      </c>
      <c r="E227" s="244" t="s">
        <v>827</v>
      </c>
      <c r="F227" s="218" t="s">
        <v>654</v>
      </c>
    </row>
    <row r="228" spans="1:6" x14ac:dyDescent="0.3">
      <c r="A228" s="262" t="str">
        <f t="shared" ca="1" si="3"/>
        <v>Organisation du projet et jalons</v>
      </c>
      <c r="B228" s="261"/>
      <c r="C228" s="244" t="s">
        <v>230</v>
      </c>
      <c r="D228" s="244" t="s">
        <v>258</v>
      </c>
      <c r="E228" s="244" t="s">
        <v>916</v>
      </c>
      <c r="F228" s="218" t="s">
        <v>655</v>
      </c>
    </row>
    <row r="229" spans="1:6" x14ac:dyDescent="0.3">
      <c r="A229" s="262" t="str">
        <f t="shared" ca="1" si="3"/>
        <v>Budget sommaire</v>
      </c>
      <c r="B229" s="261"/>
      <c r="C229" s="244" t="s">
        <v>231</v>
      </c>
      <c r="D229" s="244" t="s">
        <v>259</v>
      </c>
      <c r="E229" s="244" t="s">
        <v>828</v>
      </c>
      <c r="F229" s="218" t="s">
        <v>656</v>
      </c>
    </row>
    <row r="230" spans="1:6" x14ac:dyDescent="0.3">
      <c r="A230" s="262" t="str">
        <f t="shared" ca="1" si="3"/>
        <v>Solutions possibles</v>
      </c>
      <c r="B230" s="261"/>
      <c r="C230" s="244" t="s">
        <v>232</v>
      </c>
      <c r="D230" s="244" t="s">
        <v>260</v>
      </c>
      <c r="E230" s="244" t="s">
        <v>829</v>
      </c>
      <c r="F230" s="218" t="s">
        <v>657</v>
      </c>
    </row>
    <row r="231" spans="1:6" x14ac:dyDescent="0.3">
      <c r="A231" s="262" t="str">
        <f t="shared" ca="1" si="3"/>
        <v>Suite</v>
      </c>
      <c r="B231" s="261"/>
      <c r="C231" s="244" t="s">
        <v>233</v>
      </c>
      <c r="D231" s="244" t="s">
        <v>261</v>
      </c>
      <c r="E231" s="244" t="s">
        <v>830</v>
      </c>
      <c r="F231" s="218" t="s">
        <v>658</v>
      </c>
    </row>
    <row r="232" spans="1:6" x14ac:dyDescent="0.3">
      <c r="A232" s="262" t="str">
        <f t="shared" ca="1" si="3"/>
        <v>Annexes</v>
      </c>
      <c r="B232" s="261"/>
      <c r="C232" s="244" t="s">
        <v>234</v>
      </c>
      <c r="D232" s="244" t="s">
        <v>262</v>
      </c>
      <c r="E232" s="244" t="s">
        <v>929</v>
      </c>
      <c r="F232" s="218" t="s">
        <v>659</v>
      </c>
    </row>
    <row r="233" spans="1:6" x14ac:dyDescent="0.3">
      <c r="A233" s="262" t="str">
        <f t="shared" ca="1" si="3"/>
        <v>Ouvrir modèle en MS Word &gt;&gt;</v>
      </c>
      <c r="B233" s="261"/>
      <c r="C233" s="244" t="s">
        <v>294</v>
      </c>
      <c r="D233" s="244" t="s">
        <v>515</v>
      </c>
      <c r="E233" s="244" t="s">
        <v>831</v>
      </c>
      <c r="F233" s="218" t="s">
        <v>660</v>
      </c>
    </row>
    <row r="234" spans="1:6" x14ac:dyDescent="0.3">
      <c r="A234" s="262" t="str">
        <f t="shared" ca="1" si="3"/>
        <v>Management Summary</v>
      </c>
      <c r="B234" s="261"/>
      <c r="C234" s="244" t="s">
        <v>228</v>
      </c>
      <c r="D234" s="244" t="s">
        <v>228</v>
      </c>
      <c r="E234" s="244" t="s">
        <v>826</v>
      </c>
      <c r="F234" s="218" t="s">
        <v>228</v>
      </c>
    </row>
    <row r="235" spans="1:6" ht="27.6" x14ac:dyDescent="0.3">
      <c r="A235" s="262" t="str">
        <f t="shared" ca="1" si="3"/>
        <v>Résumer l’essentiel sur max. une demi-page :</v>
      </c>
      <c r="B235" s="261"/>
      <c r="C235" s="244" t="s">
        <v>235</v>
      </c>
      <c r="D235" s="244" t="s">
        <v>268</v>
      </c>
      <c r="E235" s="244" t="s">
        <v>832</v>
      </c>
      <c r="F235" s="218" t="s">
        <v>661</v>
      </c>
    </row>
    <row r="236" spans="1:6" x14ac:dyDescent="0.3">
      <c r="A236" s="262" t="str">
        <f t="shared" ca="1" si="3"/>
        <v>Situation de départ et données du problème ?</v>
      </c>
      <c r="B236" s="261"/>
      <c r="C236" s="244" t="s">
        <v>269</v>
      </c>
      <c r="D236" s="244" t="s">
        <v>263</v>
      </c>
      <c r="E236" s="244" t="s">
        <v>833</v>
      </c>
      <c r="F236" s="218" t="s">
        <v>662</v>
      </c>
    </row>
    <row r="237" spans="1:6" x14ac:dyDescent="0.3">
      <c r="A237" s="262" t="str">
        <f t="shared" ca="1" si="3"/>
        <v>Objectifs du projet ?</v>
      </c>
      <c r="B237" s="261"/>
      <c r="C237" s="244" t="s">
        <v>270</v>
      </c>
      <c r="D237" s="244" t="s">
        <v>264</v>
      </c>
      <c r="E237" s="244" t="s">
        <v>834</v>
      </c>
      <c r="F237" s="218" t="s">
        <v>663</v>
      </c>
    </row>
    <row r="238" spans="1:6" x14ac:dyDescent="0.3">
      <c r="A238" s="262" t="str">
        <f t="shared" ca="1" si="3"/>
        <v>Résultats attendus ?</v>
      </c>
      <c r="B238" s="261"/>
      <c r="C238" s="244" t="s">
        <v>271</v>
      </c>
      <c r="D238" s="244" t="s">
        <v>265</v>
      </c>
      <c r="E238" s="244" t="s">
        <v>835</v>
      </c>
      <c r="F238" s="218" t="s">
        <v>664</v>
      </c>
    </row>
    <row r="239" spans="1:6" x14ac:dyDescent="0.3">
      <c r="A239" s="262" t="str">
        <f t="shared" ca="1" si="3"/>
        <v>Proposition d'une solution ?</v>
      </c>
      <c r="B239" s="261"/>
      <c r="C239" s="244" t="s">
        <v>272</v>
      </c>
      <c r="D239" s="244" t="s">
        <v>266</v>
      </c>
      <c r="E239" s="244" t="s">
        <v>836</v>
      </c>
      <c r="F239" s="218" t="s">
        <v>665</v>
      </c>
    </row>
    <row r="240" spans="1:6" ht="27.6" x14ac:dyDescent="0.3">
      <c r="A240" s="262" t="str">
        <f t="shared" ca="1" si="3"/>
        <v>Quelles sont les décisions à prendre par le mandant et jusqu'à quand ?</v>
      </c>
      <c r="B240" s="261"/>
      <c r="C240" s="244" t="s">
        <v>273</v>
      </c>
      <c r="D240" s="244" t="s">
        <v>267</v>
      </c>
      <c r="E240" s="244" t="s">
        <v>837</v>
      </c>
      <c r="F240" s="218" t="s">
        <v>666</v>
      </c>
    </row>
    <row r="241" spans="1:6" x14ac:dyDescent="0.3">
      <c r="A241" s="262">
        <f t="shared" ca="1" si="3"/>
        <v>0</v>
      </c>
      <c r="B241" s="261"/>
      <c r="C241" s="244"/>
      <c r="D241" s="244"/>
      <c r="E241" s="244" t="s">
        <v>823</v>
      </c>
      <c r="F241" s="218"/>
    </row>
    <row r="242" spans="1:6" x14ac:dyDescent="0.3">
      <c r="A242" s="262" t="str">
        <f t="shared" ca="1" si="3"/>
        <v>Situation de départ</v>
      </c>
      <c r="B242" s="261"/>
      <c r="C242" s="244" t="s">
        <v>229</v>
      </c>
      <c r="D242" s="244" t="s">
        <v>257</v>
      </c>
      <c r="E242" s="244" t="s">
        <v>827</v>
      </c>
      <c r="F242" s="218" t="s">
        <v>654</v>
      </c>
    </row>
    <row r="243" spans="1:6" x14ac:dyDescent="0.3">
      <c r="A243" s="262" t="str">
        <f t="shared" ca="1" si="3"/>
        <v>Qui est le mandant ?</v>
      </c>
      <c r="B243" s="261"/>
      <c r="C243" s="244" t="s">
        <v>236</v>
      </c>
      <c r="D243" s="244" t="s">
        <v>274</v>
      </c>
      <c r="E243" s="244" t="s">
        <v>917</v>
      </c>
      <c r="F243" s="218" t="s">
        <v>667</v>
      </c>
    </row>
    <row r="244" spans="1:6" x14ac:dyDescent="0.3">
      <c r="A244" s="262" t="str">
        <f t="shared" ca="1" si="3"/>
        <v>Brève description de la problématique.</v>
      </c>
      <c r="B244" s="261"/>
      <c r="C244" s="244" t="s">
        <v>237</v>
      </c>
      <c r="D244" s="244" t="s">
        <v>275</v>
      </c>
      <c r="E244" s="244" t="s">
        <v>838</v>
      </c>
      <c r="F244" s="218" t="s">
        <v>668</v>
      </c>
    </row>
    <row r="245" spans="1:6" x14ac:dyDescent="0.3">
      <c r="A245" s="262" t="str">
        <f t="shared" ca="1" si="3"/>
        <v>Quels sont les objectifs du projet ?</v>
      </c>
      <c r="B245" s="261"/>
      <c r="C245" s="244" t="s">
        <v>238</v>
      </c>
      <c r="D245" s="244" t="s">
        <v>276</v>
      </c>
      <c r="E245" s="244" t="s">
        <v>839</v>
      </c>
      <c r="F245" s="218" t="s">
        <v>669</v>
      </c>
    </row>
    <row r="246" spans="1:6" ht="27.6" x14ac:dyDescent="0.3">
      <c r="A246" s="262" t="str">
        <f t="shared" ca="1" si="3"/>
        <v>Quels sont les résultats attendus (les délivrables) ?</v>
      </c>
      <c r="B246" s="261"/>
      <c r="C246" s="244" t="s">
        <v>239</v>
      </c>
      <c r="D246" s="244" t="s">
        <v>277</v>
      </c>
      <c r="E246" s="244" t="s">
        <v>840</v>
      </c>
      <c r="F246" s="218" t="s">
        <v>670</v>
      </c>
    </row>
    <row r="247" spans="1:6" x14ac:dyDescent="0.3">
      <c r="A247" s="262" t="str">
        <f t="shared" ca="1" si="3"/>
        <v xml:space="preserve">Quels sont les facteurs de succès ? </v>
      </c>
      <c r="B247" s="261"/>
      <c r="C247" s="244" t="s">
        <v>240</v>
      </c>
      <c r="D247" s="244" t="s">
        <v>278</v>
      </c>
      <c r="E247" s="244" t="s">
        <v>841</v>
      </c>
      <c r="F247" s="218" t="s">
        <v>671</v>
      </c>
    </row>
    <row r="248" spans="1:6" x14ac:dyDescent="0.3">
      <c r="A248" s="262" t="str">
        <f t="shared" ca="1" si="3"/>
        <v>Quels sont les risques ?</v>
      </c>
      <c r="B248" s="261"/>
      <c r="C248" s="244" t="s">
        <v>241</v>
      </c>
      <c r="D248" s="244" t="s">
        <v>279</v>
      </c>
      <c r="E248" s="244" t="s">
        <v>842</v>
      </c>
      <c r="F248" s="218" t="s">
        <v>672</v>
      </c>
    </row>
    <row r="249" spans="1:6" x14ac:dyDescent="0.3">
      <c r="A249" s="262">
        <f t="shared" ca="1" si="3"/>
        <v>0</v>
      </c>
      <c r="B249" s="261"/>
      <c r="C249" s="244"/>
      <c r="D249" s="244"/>
      <c r="E249" s="244" t="s">
        <v>823</v>
      </c>
      <c r="F249" s="218"/>
    </row>
    <row r="250" spans="1:6" x14ac:dyDescent="0.3">
      <c r="A250" s="262" t="str">
        <f t="shared" ca="1" si="3"/>
        <v>Organisation du projet et jalons</v>
      </c>
      <c r="B250" s="261"/>
      <c r="C250" s="244" t="s">
        <v>230</v>
      </c>
      <c r="D250" s="244" t="s">
        <v>258</v>
      </c>
      <c r="E250" s="244" t="s">
        <v>916</v>
      </c>
      <c r="F250" s="218" t="s">
        <v>655</v>
      </c>
    </row>
    <row r="251" spans="1:6" x14ac:dyDescent="0.3">
      <c r="A251" s="262" t="str">
        <f t="shared" ca="1" si="3"/>
        <v>Organigramme du projet ?</v>
      </c>
      <c r="B251" s="261"/>
      <c r="C251" s="244" t="s">
        <v>242</v>
      </c>
      <c r="D251" s="244" t="s">
        <v>280</v>
      </c>
      <c r="E251" s="244" t="s">
        <v>918</v>
      </c>
      <c r="F251" s="218" t="s">
        <v>673</v>
      </c>
    </row>
    <row r="252" spans="1:6" ht="27.6" x14ac:dyDescent="0.3">
      <c r="A252" s="262" t="str">
        <f t="shared" ca="1" si="3"/>
        <v>Qui collabore au projet ? Qui assume quelles responsabilités et quelles compétences ?</v>
      </c>
      <c r="B252" s="261"/>
      <c r="C252" s="244" t="s">
        <v>243</v>
      </c>
      <c r="D252" s="244" t="s">
        <v>281</v>
      </c>
      <c r="E252" s="244" t="s">
        <v>843</v>
      </c>
      <c r="F252" s="218" t="s">
        <v>674</v>
      </c>
    </row>
    <row r="253" spans="1:6" x14ac:dyDescent="0.3">
      <c r="A253" s="262" t="str">
        <f t="shared" ca="1" si="3"/>
        <v>Quels sont les jalons ?</v>
      </c>
      <c r="B253" s="261"/>
      <c r="C253" s="244" t="s">
        <v>244</v>
      </c>
      <c r="D253" s="244" t="s">
        <v>282</v>
      </c>
      <c r="E253" s="244" t="s">
        <v>844</v>
      </c>
      <c r="F253" s="218" t="s">
        <v>675</v>
      </c>
    </row>
    <row r="254" spans="1:6" x14ac:dyDescent="0.3">
      <c r="A254" s="262" t="str">
        <f t="shared" ca="1" si="3"/>
        <v>Quelle est la planification sommaire ?</v>
      </c>
      <c r="B254" s="261"/>
      <c r="C254" s="244" t="s">
        <v>245</v>
      </c>
      <c r="D254" s="244" t="s">
        <v>283</v>
      </c>
      <c r="E254" s="244" t="s">
        <v>845</v>
      </c>
      <c r="F254" s="218" t="s">
        <v>676</v>
      </c>
    </row>
    <row r="255" spans="1:6" ht="27.6" x14ac:dyDescent="0.3">
      <c r="A255" s="262" t="str">
        <f t="shared" ca="1" si="3"/>
        <v>Quelle est la stratégie d’information/de communication relative au projet ?</v>
      </c>
      <c r="B255" s="261"/>
      <c r="C255" s="244" t="s">
        <v>246</v>
      </c>
      <c r="D255" s="244" t="s">
        <v>284</v>
      </c>
      <c r="E255" s="244" t="s">
        <v>846</v>
      </c>
      <c r="F255" s="218" t="s">
        <v>677</v>
      </c>
    </row>
    <row r="256" spans="1:6" x14ac:dyDescent="0.3">
      <c r="A256" s="262">
        <f t="shared" ca="1" si="3"/>
        <v>0</v>
      </c>
      <c r="B256" s="261"/>
      <c r="C256" s="244"/>
      <c r="D256" s="244"/>
      <c r="E256" s="244" t="s">
        <v>823</v>
      </c>
      <c r="F256" s="218"/>
    </row>
    <row r="257" spans="1:6" x14ac:dyDescent="0.3">
      <c r="A257" s="262" t="str">
        <f t="shared" ca="1" si="3"/>
        <v>Budget sommaire</v>
      </c>
      <c r="B257" s="261"/>
      <c r="C257" s="244" t="s">
        <v>231</v>
      </c>
      <c r="D257" s="244" t="s">
        <v>259</v>
      </c>
      <c r="E257" s="244" t="s">
        <v>828</v>
      </c>
      <c r="F257" s="218" t="s">
        <v>656</v>
      </c>
    </row>
    <row r="258" spans="1:6" ht="41.4" x14ac:dyDescent="0.3">
      <c r="A258" s="262" t="str">
        <f t="shared" ca="1" si="3"/>
        <v>Ressources internes (nombre de demi-journées / éventuellement en montants en francs) ?</v>
      </c>
      <c r="B258" s="261"/>
      <c r="C258" s="244" t="s">
        <v>247</v>
      </c>
      <c r="D258" s="244" t="s">
        <v>285</v>
      </c>
      <c r="E258" s="244" t="s">
        <v>847</v>
      </c>
      <c r="F258" s="218" t="s">
        <v>678</v>
      </c>
    </row>
    <row r="259" spans="1:6" x14ac:dyDescent="0.3">
      <c r="A259" s="262" t="str">
        <f t="shared" ca="1" si="3"/>
        <v>Coûts externes ?</v>
      </c>
      <c r="B259" s="261"/>
      <c r="C259" s="244" t="s">
        <v>248</v>
      </c>
      <c r="D259" s="244" t="s">
        <v>286</v>
      </c>
      <c r="E259" s="244" t="s">
        <v>848</v>
      </c>
      <c r="F259" s="218" t="s">
        <v>679</v>
      </c>
    </row>
    <row r="260" spans="1:6" x14ac:dyDescent="0.3">
      <c r="A260" s="262">
        <f t="shared" ca="1" si="3"/>
        <v>0</v>
      </c>
      <c r="B260" s="261"/>
      <c r="C260" s="244"/>
      <c r="D260" s="244"/>
      <c r="E260" s="244" t="s">
        <v>823</v>
      </c>
      <c r="F260" s="218"/>
    </row>
    <row r="261" spans="1:6" x14ac:dyDescent="0.3">
      <c r="A261" s="262" t="str">
        <f t="shared" ca="1" si="3"/>
        <v>Solutions possibles</v>
      </c>
      <c r="B261" s="261"/>
      <c r="C261" s="244" t="s">
        <v>232</v>
      </c>
      <c r="D261" s="244" t="s">
        <v>260</v>
      </c>
      <c r="E261" s="244" t="s">
        <v>849</v>
      </c>
      <c r="F261" s="218" t="s">
        <v>657</v>
      </c>
    </row>
    <row r="262" spans="1:6" x14ac:dyDescent="0.3">
      <c r="A262" s="262" t="str">
        <f t="shared" ca="1" si="3"/>
        <v>Proposer différentes solutions.</v>
      </c>
      <c r="B262" s="261"/>
      <c r="C262" s="244" t="s">
        <v>249</v>
      </c>
      <c r="D262" s="244" t="s">
        <v>287</v>
      </c>
      <c r="E262" s="244" t="s">
        <v>850</v>
      </c>
      <c r="F262" s="218" t="s">
        <v>680</v>
      </c>
    </row>
    <row r="263" spans="1:6" ht="27.6" x14ac:dyDescent="0.3">
      <c r="A263" s="262" t="str">
        <f t="shared" ca="1" si="3"/>
        <v>Evaluation des solutions (avantages et inconvénients) ?</v>
      </c>
      <c r="B263" s="261"/>
      <c r="C263" s="244" t="s">
        <v>250</v>
      </c>
      <c r="D263" s="244" t="s">
        <v>288</v>
      </c>
      <c r="E263" s="244" t="s">
        <v>851</v>
      </c>
      <c r="F263" s="218" t="s">
        <v>681</v>
      </c>
    </row>
    <row r="264" spans="1:6" x14ac:dyDescent="0.3">
      <c r="A264" s="262" t="str">
        <f t="shared" ca="1" si="3"/>
        <v>Proposition d’une solution.</v>
      </c>
      <c r="B264" s="261"/>
      <c r="C264" s="244" t="s">
        <v>251</v>
      </c>
      <c r="D264" s="244" t="s">
        <v>289</v>
      </c>
      <c r="E264" s="244" t="s">
        <v>852</v>
      </c>
      <c r="F264" s="218" t="s">
        <v>682</v>
      </c>
    </row>
    <row r="265" spans="1:6" x14ac:dyDescent="0.3">
      <c r="A265" s="262">
        <f t="shared" ca="1" si="3"/>
        <v>0</v>
      </c>
      <c r="B265" s="261"/>
      <c r="C265" s="244"/>
      <c r="D265" s="244"/>
      <c r="E265" s="244" t="s">
        <v>823</v>
      </c>
      <c r="F265" s="218"/>
    </row>
    <row r="266" spans="1:6" x14ac:dyDescent="0.3">
      <c r="A266" s="262" t="str">
        <f t="shared" ca="1" si="3"/>
        <v>Suite</v>
      </c>
      <c r="B266" s="261"/>
      <c r="C266" s="244" t="s">
        <v>233</v>
      </c>
      <c r="D266" s="244" t="s">
        <v>261</v>
      </c>
      <c r="E266" s="244" t="s">
        <v>830</v>
      </c>
      <c r="F266" s="218" t="s">
        <v>658</v>
      </c>
    </row>
    <row r="267" spans="1:6" x14ac:dyDescent="0.3">
      <c r="A267" s="262" t="str">
        <f t="shared" ca="1" si="3"/>
        <v>Quelle est la suite du projet ? Proposition ?</v>
      </c>
      <c r="B267" s="261"/>
      <c r="C267" s="244" t="s">
        <v>252</v>
      </c>
      <c r="D267" s="244" t="s">
        <v>290</v>
      </c>
      <c r="E267" s="244" t="s">
        <v>853</v>
      </c>
      <c r="F267" s="218" t="s">
        <v>683</v>
      </c>
    </row>
    <row r="268" spans="1:6" ht="27.6" x14ac:dyDescent="0.3">
      <c r="A268" s="262" t="str">
        <f t="shared" ca="1" si="3"/>
        <v>Quelles décisions doivent être prises pour quelle date ?</v>
      </c>
      <c r="B268" s="261"/>
      <c r="C268" s="244" t="s">
        <v>253</v>
      </c>
      <c r="D268" s="244" t="s">
        <v>291</v>
      </c>
      <c r="E268" s="244" t="s">
        <v>854</v>
      </c>
      <c r="F268" s="218" t="s">
        <v>684</v>
      </c>
    </row>
    <row r="269" spans="1:6" x14ac:dyDescent="0.3">
      <c r="A269" s="262">
        <f t="shared" ca="1" si="3"/>
        <v>0</v>
      </c>
      <c r="B269" s="261"/>
      <c r="C269" s="244"/>
      <c r="D269" s="244"/>
      <c r="E269" s="244" t="s">
        <v>823</v>
      </c>
      <c r="F269" s="218"/>
    </row>
    <row r="270" spans="1:6" x14ac:dyDescent="0.3">
      <c r="A270" s="262" t="str">
        <f t="shared" ca="1" si="3"/>
        <v>Annexes</v>
      </c>
      <c r="B270" s="261"/>
      <c r="C270" s="244" t="s">
        <v>293</v>
      </c>
      <c r="D270" s="244" t="s">
        <v>262</v>
      </c>
      <c r="E270" s="244" t="s">
        <v>929</v>
      </c>
      <c r="F270" s="218" t="s">
        <v>659</v>
      </c>
    </row>
    <row r="271" spans="1:6" ht="27.6" x14ac:dyDescent="0.3">
      <c r="A271" s="262" t="str">
        <f t="shared" ref="A271:A333" ca="1" si="4">OFFSET($C271,0,$B$4-1)</f>
        <v>Au moins : mandat de projet, plan sommaire, équipe de projet, budget sommaire.</v>
      </c>
      <c r="B271" s="261"/>
      <c r="C271" s="244" t="s">
        <v>254</v>
      </c>
      <c r="D271" s="244" t="s">
        <v>292</v>
      </c>
      <c r="E271" s="244" t="s">
        <v>855</v>
      </c>
      <c r="F271" s="218" t="s">
        <v>685</v>
      </c>
    </row>
    <row r="272" spans="1:6" ht="27.6" x14ac:dyDescent="0.3">
      <c r="A272" s="263" t="str">
        <f t="shared" ca="1" si="4"/>
        <v xml:space="preserve">Insérer ici, avec le bouton droit de la souris, le lien vers le document </v>
      </c>
      <c r="B272" s="261"/>
      <c r="C272" s="246" t="s">
        <v>1512</v>
      </c>
      <c r="D272" s="246" t="s">
        <v>1511</v>
      </c>
      <c r="E272" s="246" t="s">
        <v>1454</v>
      </c>
      <c r="F272" s="247" t="s">
        <v>1455</v>
      </c>
    </row>
    <row r="273" spans="1:6" s="252" customFormat="1" x14ac:dyDescent="0.3">
      <c r="A273" s="259" t="str">
        <f t="shared" ca="1" si="4"/>
        <v>C O N C E P T  D É T A I L L É</v>
      </c>
      <c r="B273" s="251"/>
      <c r="C273" s="233" t="s">
        <v>363</v>
      </c>
      <c r="D273" s="233" t="s">
        <v>364</v>
      </c>
      <c r="E273" s="233" t="s">
        <v>856</v>
      </c>
      <c r="F273" s="234" t="s">
        <v>715</v>
      </c>
    </row>
    <row r="274" spans="1:6" x14ac:dyDescent="0.3">
      <c r="A274" s="260" t="str">
        <f t="shared" ca="1" si="4"/>
        <v>Management Summary</v>
      </c>
      <c r="B274" s="261"/>
      <c r="C274" s="241" t="s">
        <v>228</v>
      </c>
      <c r="D274" s="241" t="s">
        <v>228</v>
      </c>
      <c r="E274" s="241" t="s">
        <v>826</v>
      </c>
      <c r="F274" s="242" t="s">
        <v>228</v>
      </c>
    </row>
    <row r="275" spans="1:6" x14ac:dyDescent="0.3">
      <c r="A275" s="262" t="str">
        <f t="shared" ca="1" si="4"/>
        <v>Situation de départ</v>
      </c>
      <c r="B275" s="261"/>
      <c r="C275" s="244" t="s">
        <v>229</v>
      </c>
      <c r="D275" s="244" t="s">
        <v>257</v>
      </c>
      <c r="E275" s="244" t="s">
        <v>827</v>
      </c>
      <c r="F275" s="218" t="s">
        <v>654</v>
      </c>
    </row>
    <row r="276" spans="1:6" x14ac:dyDescent="0.3">
      <c r="A276" s="262" t="str">
        <f t="shared" ca="1" si="4"/>
        <v>Organisation et planification</v>
      </c>
      <c r="B276" s="261"/>
      <c r="C276" s="244" t="s">
        <v>295</v>
      </c>
      <c r="D276" s="244" t="s">
        <v>324</v>
      </c>
      <c r="E276" s="244" t="s">
        <v>919</v>
      </c>
      <c r="F276" s="218" t="s">
        <v>686</v>
      </c>
    </row>
    <row r="277" spans="1:6" x14ac:dyDescent="0.3">
      <c r="A277" s="262" t="str">
        <f t="shared" ca="1" si="4"/>
        <v>Ressources</v>
      </c>
      <c r="B277" s="261"/>
      <c r="C277" s="244" t="s">
        <v>146</v>
      </c>
      <c r="D277" s="244" t="s">
        <v>147</v>
      </c>
      <c r="E277" s="244" t="s">
        <v>857</v>
      </c>
      <c r="F277" s="218" t="s">
        <v>687</v>
      </c>
    </row>
    <row r="278" spans="1:6" x14ac:dyDescent="0.3">
      <c r="A278" s="262" t="str">
        <f t="shared" ca="1" si="4"/>
        <v>Mise en pratique</v>
      </c>
      <c r="B278" s="261"/>
      <c r="C278" s="244" t="s">
        <v>296</v>
      </c>
      <c r="D278" s="244" t="s">
        <v>325</v>
      </c>
      <c r="E278" s="244" t="s">
        <v>718</v>
      </c>
      <c r="F278" s="218" t="s">
        <v>688</v>
      </c>
    </row>
    <row r="279" spans="1:6" x14ac:dyDescent="0.3">
      <c r="A279" s="262" t="str">
        <f t="shared" ca="1" si="4"/>
        <v>Facteurs de succès et risques</v>
      </c>
      <c r="B279" s="261"/>
      <c r="C279" s="244" t="s">
        <v>297</v>
      </c>
      <c r="D279" s="244" t="s">
        <v>326</v>
      </c>
      <c r="E279" s="244" t="s">
        <v>875</v>
      </c>
      <c r="F279" s="218" t="s">
        <v>689</v>
      </c>
    </row>
    <row r="280" spans="1:6" x14ac:dyDescent="0.3">
      <c r="A280" s="262" t="str">
        <f t="shared" ca="1" si="4"/>
        <v>Assurance de la qualité et controlling</v>
      </c>
      <c r="B280" s="261"/>
      <c r="C280" s="244" t="s">
        <v>298</v>
      </c>
      <c r="D280" s="244" t="s">
        <v>327</v>
      </c>
      <c r="E280" s="244" t="s">
        <v>858</v>
      </c>
      <c r="F280" s="218" t="s">
        <v>690</v>
      </c>
    </row>
    <row r="281" spans="1:6" x14ac:dyDescent="0.3">
      <c r="A281" s="262" t="str">
        <f t="shared" ca="1" si="4"/>
        <v>Conclusions</v>
      </c>
      <c r="B281" s="261"/>
      <c r="C281" s="244" t="s">
        <v>299</v>
      </c>
      <c r="D281" s="244" t="s">
        <v>328</v>
      </c>
      <c r="E281" s="244" t="s">
        <v>719</v>
      </c>
      <c r="F281" s="218" t="s">
        <v>554</v>
      </c>
    </row>
    <row r="282" spans="1:6" x14ac:dyDescent="0.3">
      <c r="A282" s="262" t="str">
        <f t="shared" ca="1" si="4"/>
        <v>Annexes</v>
      </c>
      <c r="B282" s="261"/>
      <c r="C282" s="244" t="s">
        <v>234</v>
      </c>
      <c r="D282" s="244" t="s">
        <v>262</v>
      </c>
      <c r="E282" s="244" t="s">
        <v>929</v>
      </c>
      <c r="F282" s="218" t="s">
        <v>659</v>
      </c>
    </row>
    <row r="283" spans="1:6" x14ac:dyDescent="0.3">
      <c r="A283" s="262">
        <f t="shared" ca="1" si="4"/>
        <v>0</v>
      </c>
      <c r="B283" s="261"/>
      <c r="C283" s="244"/>
      <c r="D283" s="244"/>
      <c r="E283" s="244"/>
      <c r="F283" s="218"/>
    </row>
    <row r="284" spans="1:6" x14ac:dyDescent="0.3">
      <c r="A284" s="262" t="str">
        <f t="shared" ca="1" si="4"/>
        <v>Management Summary</v>
      </c>
      <c r="B284" s="261"/>
      <c r="C284" s="244" t="s">
        <v>318</v>
      </c>
      <c r="D284" s="244" t="s">
        <v>228</v>
      </c>
      <c r="E284" s="244" t="s">
        <v>826</v>
      </c>
      <c r="F284" s="218" t="s">
        <v>228</v>
      </c>
    </row>
    <row r="285" spans="1:6" ht="27.6" x14ac:dyDescent="0.3">
      <c r="A285" s="262" t="str">
        <f t="shared" ca="1" si="4"/>
        <v>Résumer l’essentiel sur max. une page :</v>
      </c>
      <c r="B285" s="261"/>
      <c r="C285" s="244" t="s">
        <v>300</v>
      </c>
      <c r="D285" s="244" t="s">
        <v>329</v>
      </c>
      <c r="E285" s="244" t="s">
        <v>859</v>
      </c>
      <c r="F285" s="218" t="s">
        <v>691</v>
      </c>
    </row>
    <row r="286" spans="1:6" x14ac:dyDescent="0.3">
      <c r="A286" s="262" t="str">
        <f t="shared" ca="1" si="4"/>
        <v>Situation de départ et données du problème ?</v>
      </c>
      <c r="B286" s="261"/>
      <c r="C286" s="244" t="s">
        <v>269</v>
      </c>
      <c r="D286" s="244" t="s">
        <v>263</v>
      </c>
      <c r="E286" s="244" t="s">
        <v>833</v>
      </c>
      <c r="F286" s="218" t="s">
        <v>662</v>
      </c>
    </row>
    <row r="287" spans="1:6" x14ac:dyDescent="0.3">
      <c r="A287" s="262" t="str">
        <f t="shared" ca="1" si="4"/>
        <v>Objectifs du projet ?</v>
      </c>
      <c r="B287" s="261"/>
      <c r="C287" s="244" t="s">
        <v>270</v>
      </c>
      <c r="D287" s="244" t="s">
        <v>264</v>
      </c>
      <c r="E287" s="244" t="s">
        <v>834</v>
      </c>
      <c r="F287" s="218" t="s">
        <v>663</v>
      </c>
    </row>
    <row r="288" spans="1:6" x14ac:dyDescent="0.3">
      <c r="A288" s="262" t="str">
        <f t="shared" ca="1" si="4"/>
        <v>Jalons ?</v>
      </c>
      <c r="B288" s="261"/>
      <c r="C288" s="244" t="s">
        <v>319</v>
      </c>
      <c r="D288" s="244" t="s">
        <v>330</v>
      </c>
      <c r="E288" s="244" t="s">
        <v>860</v>
      </c>
      <c r="F288" s="218" t="s">
        <v>692</v>
      </c>
    </row>
    <row r="289" spans="1:6" x14ac:dyDescent="0.3">
      <c r="A289" s="262" t="str">
        <f t="shared" ca="1" si="4"/>
        <v>Démarche ?</v>
      </c>
      <c r="B289" s="261"/>
      <c r="C289" s="244" t="s">
        <v>320</v>
      </c>
      <c r="D289" s="244" t="s">
        <v>331</v>
      </c>
      <c r="E289" s="244" t="s">
        <v>920</v>
      </c>
      <c r="F289" s="218" t="s">
        <v>693</v>
      </c>
    </row>
    <row r="290" spans="1:6" x14ac:dyDescent="0.3">
      <c r="A290" s="262" t="str">
        <f t="shared" ca="1" si="4"/>
        <v>Résultats/solutions ?</v>
      </c>
      <c r="B290" s="261"/>
      <c r="C290" s="244" t="s">
        <v>321</v>
      </c>
      <c r="D290" s="244" t="s">
        <v>332</v>
      </c>
      <c r="E290" s="244" t="s">
        <v>861</v>
      </c>
      <c r="F290" s="218" t="s">
        <v>694</v>
      </c>
    </row>
    <row r="291" spans="1:6" ht="27.6" x14ac:dyDescent="0.3">
      <c r="A291" s="262" t="str">
        <f t="shared" ca="1" si="4"/>
        <v>Que doit décider le mandant sur la base de ce concept (par ex. Go/No Go) ?</v>
      </c>
      <c r="B291" s="261"/>
      <c r="C291" s="244" t="s">
        <v>322</v>
      </c>
      <c r="D291" s="244" t="s">
        <v>333</v>
      </c>
      <c r="E291" s="244" t="s">
        <v>862</v>
      </c>
      <c r="F291" s="218" t="s">
        <v>695</v>
      </c>
    </row>
    <row r="292" spans="1:6" x14ac:dyDescent="0.3">
      <c r="A292" s="262" t="str">
        <f t="shared" ca="1" si="4"/>
        <v>Conclusions ?</v>
      </c>
      <c r="B292" s="261"/>
      <c r="C292" s="244" t="s">
        <v>323</v>
      </c>
      <c r="D292" s="244" t="s">
        <v>334</v>
      </c>
      <c r="E292" s="244" t="s">
        <v>863</v>
      </c>
      <c r="F292" s="218" t="s">
        <v>696</v>
      </c>
    </row>
    <row r="293" spans="1:6" x14ac:dyDescent="0.3">
      <c r="A293" s="262" t="str">
        <f t="shared" ca="1" si="4"/>
        <v>Situation de départ</v>
      </c>
      <c r="B293" s="261"/>
      <c r="C293" s="244" t="s">
        <v>229</v>
      </c>
      <c r="D293" s="244" t="s">
        <v>257</v>
      </c>
      <c r="E293" s="244" t="s">
        <v>864</v>
      </c>
      <c r="F293" s="218" t="s">
        <v>654</v>
      </c>
    </row>
    <row r="294" spans="1:6" x14ac:dyDescent="0.3">
      <c r="A294" s="262" t="str">
        <f t="shared" ca="1" si="4"/>
        <v>Qui est le mandant ?</v>
      </c>
      <c r="B294" s="261"/>
      <c r="C294" s="244" t="s">
        <v>236</v>
      </c>
      <c r="D294" s="244" t="s">
        <v>274</v>
      </c>
      <c r="E294" s="244" t="s">
        <v>917</v>
      </c>
      <c r="F294" s="218" t="s">
        <v>667</v>
      </c>
    </row>
    <row r="295" spans="1:6" x14ac:dyDescent="0.3">
      <c r="A295" s="262" t="str">
        <f t="shared" ca="1" si="4"/>
        <v>Brève description de la problématique.</v>
      </c>
      <c r="B295" s="261"/>
      <c r="C295" s="244" t="s">
        <v>237</v>
      </c>
      <c r="D295" s="244" t="s">
        <v>275</v>
      </c>
      <c r="E295" s="244" t="s">
        <v>865</v>
      </c>
      <c r="F295" s="218" t="s">
        <v>697</v>
      </c>
    </row>
    <row r="296" spans="1:6" x14ac:dyDescent="0.3">
      <c r="A296" s="262" t="str">
        <f t="shared" ca="1" si="4"/>
        <v>Quels sont les objectifs du projet ?</v>
      </c>
      <c r="B296" s="261"/>
      <c r="C296" s="244" t="s">
        <v>238</v>
      </c>
      <c r="D296" s="244" t="s">
        <v>276</v>
      </c>
      <c r="E296" s="244" t="s">
        <v>839</v>
      </c>
      <c r="F296" s="218" t="s">
        <v>669</v>
      </c>
    </row>
    <row r="297" spans="1:6" ht="27.6" x14ac:dyDescent="0.3">
      <c r="A297" s="262" t="str">
        <f t="shared" ca="1" si="4"/>
        <v>Quels sont les résultats attendus (les délivrables) ?</v>
      </c>
      <c r="B297" s="261"/>
      <c r="C297" s="244" t="s">
        <v>239</v>
      </c>
      <c r="D297" s="244" t="s">
        <v>277</v>
      </c>
      <c r="E297" s="244" t="s">
        <v>840</v>
      </c>
      <c r="F297" s="218" t="s">
        <v>670</v>
      </c>
    </row>
    <row r="298" spans="1:6" ht="27.6" x14ac:dyDescent="0.3">
      <c r="A298" s="262" t="str">
        <f t="shared" ca="1" si="4"/>
        <v>Qu’est-ce qui a été fait jusqu'à maintenant ? Etat actuel ? Problèmes ?</v>
      </c>
      <c r="B298" s="261"/>
      <c r="C298" s="244" t="s">
        <v>301</v>
      </c>
      <c r="D298" s="244" t="s">
        <v>335</v>
      </c>
      <c r="E298" s="244" t="s">
        <v>866</v>
      </c>
      <c r="F298" s="218" t="s">
        <v>698</v>
      </c>
    </row>
    <row r="299" spans="1:6" x14ac:dyDescent="0.3">
      <c r="A299" s="262">
        <f t="shared" ca="1" si="4"/>
        <v>0</v>
      </c>
      <c r="B299" s="261"/>
      <c r="C299" s="244"/>
      <c r="D299" s="244"/>
      <c r="E299" s="244" t="s">
        <v>823</v>
      </c>
      <c r="F299" s="218"/>
    </row>
    <row r="300" spans="1:6" x14ac:dyDescent="0.3">
      <c r="A300" s="262" t="str">
        <f t="shared" ca="1" si="4"/>
        <v>Organisation et planification</v>
      </c>
      <c r="B300" s="261"/>
      <c r="C300" s="244" t="s">
        <v>295</v>
      </c>
      <c r="D300" s="244" t="s">
        <v>324</v>
      </c>
      <c r="E300" s="244" t="s">
        <v>919</v>
      </c>
      <c r="F300" s="218" t="s">
        <v>686</v>
      </c>
    </row>
    <row r="301" spans="1:6" ht="27.6" x14ac:dyDescent="0.3">
      <c r="A301" s="262" t="str">
        <f t="shared" ca="1" si="4"/>
        <v>Organigramme du projet ? Partenaires du projet ?</v>
      </c>
      <c r="B301" s="261"/>
      <c r="C301" s="244" t="s">
        <v>302</v>
      </c>
      <c r="D301" s="244" t="s">
        <v>336</v>
      </c>
      <c r="E301" s="244" t="s">
        <v>921</v>
      </c>
      <c r="F301" s="218" t="s">
        <v>699</v>
      </c>
    </row>
    <row r="302" spans="1:6" ht="27.6" x14ac:dyDescent="0.3">
      <c r="A302" s="262" t="str">
        <f t="shared" ca="1" si="4"/>
        <v>Qui collabore au projet ? Qui assume quelles responsabilités et quelles compétences ?</v>
      </c>
      <c r="B302" s="261"/>
      <c r="C302" s="244" t="s">
        <v>243</v>
      </c>
      <c r="D302" s="244" t="s">
        <v>281</v>
      </c>
      <c r="E302" s="244" t="s">
        <v>867</v>
      </c>
      <c r="F302" s="218" t="s">
        <v>700</v>
      </c>
    </row>
    <row r="303" spans="1:6" x14ac:dyDescent="0.3">
      <c r="A303" s="262" t="str">
        <f t="shared" ca="1" si="4"/>
        <v>Quels sont les jalons ?</v>
      </c>
      <c r="B303" s="261"/>
      <c r="C303" s="244" t="s">
        <v>244</v>
      </c>
      <c r="D303" s="244" t="s">
        <v>282</v>
      </c>
      <c r="E303" s="244" t="s">
        <v>868</v>
      </c>
      <c r="F303" s="218" t="s">
        <v>675</v>
      </c>
    </row>
    <row r="304" spans="1:6" ht="27.6" x14ac:dyDescent="0.3">
      <c r="A304" s="262" t="str">
        <f t="shared" ca="1" si="4"/>
        <v>Quelle est la planification détaillée ?  Qui fait quoi ? Quand ?</v>
      </c>
      <c r="B304" s="261"/>
      <c r="C304" s="244" t="s">
        <v>303</v>
      </c>
      <c r="D304" s="244" t="s">
        <v>337</v>
      </c>
      <c r="E304" s="244" t="s">
        <v>869</v>
      </c>
      <c r="F304" s="218" t="s">
        <v>701</v>
      </c>
    </row>
    <row r="305" spans="1:6" ht="27.6" x14ac:dyDescent="0.3">
      <c r="A305" s="262" t="str">
        <f t="shared" ca="1" si="4"/>
        <v>Quelle est la stratégie d’information/de communication relative au projet ?</v>
      </c>
      <c r="B305" s="261"/>
      <c r="C305" s="244" t="s">
        <v>246</v>
      </c>
      <c r="D305" s="244" t="s">
        <v>284</v>
      </c>
      <c r="E305" s="244" t="s">
        <v>846</v>
      </c>
      <c r="F305" s="218" t="s">
        <v>702</v>
      </c>
    </row>
    <row r="306" spans="1:6" x14ac:dyDescent="0.3">
      <c r="A306" s="262">
        <f t="shared" ca="1" si="4"/>
        <v>0</v>
      </c>
      <c r="B306" s="261"/>
      <c r="C306" s="244"/>
      <c r="D306" s="244"/>
      <c r="E306" s="244" t="s">
        <v>823</v>
      </c>
      <c r="F306" s="218"/>
    </row>
    <row r="307" spans="1:6" x14ac:dyDescent="0.3">
      <c r="A307" s="262" t="str">
        <f t="shared" ca="1" si="4"/>
        <v>Ressources</v>
      </c>
      <c r="B307" s="261"/>
      <c r="C307" s="244" t="s">
        <v>146</v>
      </c>
      <c r="D307" s="244" t="s">
        <v>147</v>
      </c>
      <c r="E307" s="244" t="s">
        <v>857</v>
      </c>
      <c r="F307" s="218" t="s">
        <v>687</v>
      </c>
    </row>
    <row r="308" spans="1:6" x14ac:dyDescent="0.3">
      <c r="A308" s="262" t="str">
        <f t="shared" ca="1" si="4"/>
        <v>Budget ?</v>
      </c>
      <c r="B308" s="261"/>
      <c r="C308" s="244" t="s">
        <v>304</v>
      </c>
      <c r="D308" s="244" t="s">
        <v>922</v>
      </c>
      <c r="E308" s="244" t="s">
        <v>304</v>
      </c>
      <c r="F308" s="218" t="s">
        <v>304</v>
      </c>
    </row>
    <row r="309" spans="1:6" x14ac:dyDescent="0.3">
      <c r="A309" s="262" t="str">
        <f t="shared" ca="1" si="4"/>
        <v>Ressources internes ?</v>
      </c>
      <c r="B309" s="261"/>
      <c r="C309" s="244" t="s">
        <v>305</v>
      </c>
      <c r="D309" s="244" t="s">
        <v>338</v>
      </c>
      <c r="E309" s="244" t="s">
        <v>870</v>
      </c>
      <c r="F309" s="218" t="s">
        <v>703</v>
      </c>
    </row>
    <row r="310" spans="1:6" x14ac:dyDescent="0.3">
      <c r="A310" s="262" t="str">
        <f t="shared" ca="1" si="4"/>
        <v>Ressources externes ?</v>
      </c>
      <c r="B310" s="261"/>
      <c r="C310" s="244" t="s">
        <v>306</v>
      </c>
      <c r="D310" s="244" t="s">
        <v>339</v>
      </c>
      <c r="E310" s="244" t="s">
        <v>871</v>
      </c>
      <c r="F310" s="218" t="s">
        <v>704</v>
      </c>
    </row>
    <row r="311" spans="1:6" x14ac:dyDescent="0.3">
      <c r="A311" s="262">
        <f t="shared" ca="1" si="4"/>
        <v>0</v>
      </c>
      <c r="B311" s="261"/>
      <c r="C311" s="244"/>
      <c r="D311" s="244"/>
      <c r="E311" s="244" t="s">
        <v>823</v>
      </c>
      <c r="F311" s="218"/>
    </row>
    <row r="312" spans="1:6" x14ac:dyDescent="0.3">
      <c r="A312" s="262" t="str">
        <f t="shared" ca="1" si="4"/>
        <v>Mise en pratique</v>
      </c>
      <c r="B312" s="261"/>
      <c r="C312" s="244" t="s">
        <v>296</v>
      </c>
      <c r="D312" s="244" t="s">
        <v>325</v>
      </c>
      <c r="E312" s="244" t="s">
        <v>718</v>
      </c>
      <c r="F312" s="218" t="s">
        <v>688</v>
      </c>
    </row>
    <row r="313" spans="1:6" ht="27.6" x14ac:dyDescent="0.3">
      <c r="A313" s="262" t="str">
        <f t="shared" ca="1" si="4"/>
        <v>(Base = solution proposée dans le concept sommaire)</v>
      </c>
      <c r="B313" s="261"/>
      <c r="C313" s="244" t="s">
        <v>307</v>
      </c>
      <c r="D313" s="244" t="s">
        <v>340</v>
      </c>
      <c r="E313" s="244" t="s">
        <v>872</v>
      </c>
      <c r="F313" s="218" t="s">
        <v>705</v>
      </c>
    </row>
    <row r="314" spans="1:6" x14ac:dyDescent="0.3">
      <c r="A314" s="262" t="str">
        <f t="shared" ca="1" si="4"/>
        <v>Quelle est la démarche prévue ?</v>
      </c>
      <c r="B314" s="261"/>
      <c r="C314" s="244" t="s">
        <v>308</v>
      </c>
      <c r="D314" s="244" t="s">
        <v>341</v>
      </c>
      <c r="E314" s="244" t="s">
        <v>873</v>
      </c>
      <c r="F314" s="218" t="s">
        <v>706</v>
      </c>
    </row>
    <row r="315" spans="1:6" x14ac:dyDescent="0.3">
      <c r="A315" s="262" t="str">
        <f t="shared" ca="1" si="4"/>
        <v>Comment est-elle mise en pratique ?</v>
      </c>
      <c r="B315" s="261"/>
      <c r="C315" s="244" t="s">
        <v>309</v>
      </c>
      <c r="D315" s="244" t="s">
        <v>342</v>
      </c>
      <c r="E315" s="244" t="s">
        <v>874</v>
      </c>
      <c r="F315" s="218" t="s">
        <v>707</v>
      </c>
    </row>
    <row r="316" spans="1:6" x14ac:dyDescent="0.3">
      <c r="A316" s="262">
        <f t="shared" ca="1" si="4"/>
        <v>0</v>
      </c>
      <c r="B316" s="261"/>
      <c r="C316" s="244"/>
      <c r="D316" s="244"/>
      <c r="E316" s="244" t="s">
        <v>823</v>
      </c>
      <c r="F316" s="218"/>
    </row>
    <row r="317" spans="1:6" x14ac:dyDescent="0.3">
      <c r="A317" s="262" t="str">
        <f t="shared" ca="1" si="4"/>
        <v>Facteurs de succès et risques</v>
      </c>
      <c r="B317" s="261"/>
      <c r="C317" s="244" t="s">
        <v>297</v>
      </c>
      <c r="D317" s="244" t="s">
        <v>326</v>
      </c>
      <c r="E317" s="244" t="s">
        <v>875</v>
      </c>
      <c r="F317" s="218" t="s">
        <v>689</v>
      </c>
    </row>
    <row r="318" spans="1:6" x14ac:dyDescent="0.3">
      <c r="A318" s="262" t="str">
        <f t="shared" ca="1" si="4"/>
        <v xml:space="preserve">Quels sont les facteurs de succès ? </v>
      </c>
      <c r="B318" s="261"/>
      <c r="C318" s="244" t="s">
        <v>240</v>
      </c>
      <c r="D318" s="244" t="s">
        <v>278</v>
      </c>
      <c r="E318" s="244" t="s">
        <v>841</v>
      </c>
      <c r="F318" s="218" t="s">
        <v>671</v>
      </c>
    </row>
    <row r="319" spans="1:6" x14ac:dyDescent="0.3">
      <c r="A319" s="262" t="str">
        <f t="shared" ca="1" si="4"/>
        <v>Quels sont les risques ?</v>
      </c>
      <c r="B319" s="261"/>
      <c r="C319" s="244" t="s">
        <v>310</v>
      </c>
      <c r="D319" s="244" t="s">
        <v>343</v>
      </c>
      <c r="E319" s="244" t="s">
        <v>842</v>
      </c>
      <c r="F319" s="218" t="s">
        <v>672</v>
      </c>
    </row>
    <row r="320" spans="1:6" ht="27.6" x14ac:dyDescent="0.3">
      <c r="A320" s="262" t="str">
        <f t="shared" ca="1" si="4"/>
        <v>Quelles sont les mesures à prendre pour minimiser les risques ?</v>
      </c>
      <c r="B320" s="261"/>
      <c r="C320" s="244" t="s">
        <v>311</v>
      </c>
      <c r="D320" s="244" t="s">
        <v>344</v>
      </c>
      <c r="E320" s="244" t="s">
        <v>876</v>
      </c>
      <c r="F320" s="218" t="s">
        <v>708</v>
      </c>
    </row>
    <row r="321" spans="1:6" x14ac:dyDescent="0.3">
      <c r="A321" s="262">
        <f t="shared" ca="1" si="4"/>
        <v>0</v>
      </c>
      <c r="B321" s="261"/>
      <c r="C321" s="244"/>
      <c r="D321" s="244"/>
      <c r="E321" s="244" t="s">
        <v>823</v>
      </c>
      <c r="F321" s="218"/>
    </row>
    <row r="322" spans="1:6" x14ac:dyDescent="0.3">
      <c r="A322" s="262" t="str">
        <f t="shared" ca="1" si="4"/>
        <v>Assurance de la qualité et controlling</v>
      </c>
      <c r="B322" s="261"/>
      <c r="C322" s="244" t="s">
        <v>298</v>
      </c>
      <c r="D322" s="244" t="s">
        <v>327</v>
      </c>
      <c r="E322" s="244" t="s">
        <v>858</v>
      </c>
      <c r="F322" s="218" t="s">
        <v>517</v>
      </c>
    </row>
    <row r="323" spans="1:6" ht="27.6" x14ac:dyDescent="0.3">
      <c r="A323" s="262" t="str">
        <f t="shared" ca="1" si="4"/>
        <v>Comment l’assurance de la qualité est-celle mise en œuvre ?</v>
      </c>
      <c r="B323" s="261"/>
      <c r="C323" s="244" t="s">
        <v>312</v>
      </c>
      <c r="D323" s="244" t="s">
        <v>345</v>
      </c>
      <c r="E323" s="244" t="s">
        <v>877</v>
      </c>
      <c r="F323" s="218" t="s">
        <v>709</v>
      </c>
    </row>
    <row r="324" spans="1:6" x14ac:dyDescent="0.3">
      <c r="A324" s="262" t="str">
        <f t="shared" ca="1" si="4"/>
        <v>Quelle forme le controlling prend-il ?</v>
      </c>
      <c r="B324" s="261"/>
      <c r="C324" s="244" t="s">
        <v>313</v>
      </c>
      <c r="D324" s="244" t="s">
        <v>346</v>
      </c>
      <c r="E324" s="244" t="s">
        <v>878</v>
      </c>
      <c r="F324" s="218" t="s">
        <v>710</v>
      </c>
    </row>
    <row r="325" spans="1:6" ht="27.6" x14ac:dyDescent="0.3">
      <c r="A325" s="262" t="str">
        <f t="shared" ca="1" si="4"/>
        <v>Qui doit prendre quelles décisions pour quand ?</v>
      </c>
      <c r="B325" s="261"/>
      <c r="C325" s="244" t="s">
        <v>314</v>
      </c>
      <c r="D325" s="244" t="s">
        <v>347</v>
      </c>
      <c r="E325" s="244" t="s">
        <v>879</v>
      </c>
      <c r="F325" s="218" t="s">
        <v>711</v>
      </c>
    </row>
    <row r="326" spans="1:6" x14ac:dyDescent="0.3">
      <c r="A326" s="262">
        <f t="shared" ca="1" si="4"/>
        <v>0</v>
      </c>
      <c r="B326" s="261"/>
      <c r="C326" s="244"/>
      <c r="D326" s="244"/>
      <c r="E326" s="244" t="s">
        <v>823</v>
      </c>
      <c r="F326" s="218"/>
    </row>
    <row r="327" spans="1:6" x14ac:dyDescent="0.3">
      <c r="A327" s="262" t="str">
        <f t="shared" ca="1" si="4"/>
        <v>Conclusions</v>
      </c>
      <c r="B327" s="261"/>
      <c r="C327" s="244" t="s">
        <v>299</v>
      </c>
      <c r="D327" s="244" t="s">
        <v>328</v>
      </c>
      <c r="E327" s="244" t="s">
        <v>719</v>
      </c>
      <c r="F327" s="218" t="s">
        <v>554</v>
      </c>
    </row>
    <row r="328" spans="1:6" x14ac:dyDescent="0.3">
      <c r="A328" s="262" t="str">
        <f t="shared" ca="1" si="4"/>
        <v>Quelles conclusions peuvent être tirées ?</v>
      </c>
      <c r="B328" s="261"/>
      <c r="C328" s="244" t="s">
        <v>315</v>
      </c>
      <c r="D328" s="244" t="s">
        <v>348</v>
      </c>
      <c r="E328" s="244" t="s">
        <v>880</v>
      </c>
      <c r="F328" s="218" t="s">
        <v>712</v>
      </c>
    </row>
    <row r="329" spans="1:6" x14ac:dyDescent="0.3">
      <c r="A329" s="262" t="str">
        <f t="shared" ca="1" si="4"/>
        <v>Commentaires personnels ?</v>
      </c>
      <c r="B329" s="261"/>
      <c r="C329" s="244" t="s">
        <v>316</v>
      </c>
      <c r="D329" s="244" t="s">
        <v>349</v>
      </c>
      <c r="E329" s="244" t="s">
        <v>881</v>
      </c>
      <c r="F329" s="218" t="s">
        <v>713</v>
      </c>
    </row>
    <row r="330" spans="1:6" x14ac:dyDescent="0.3">
      <c r="A330" s="262">
        <f t="shared" ca="1" si="4"/>
        <v>0</v>
      </c>
      <c r="B330" s="261"/>
      <c r="C330" s="244"/>
      <c r="D330" s="244"/>
      <c r="E330" s="244" t="s">
        <v>823</v>
      </c>
      <c r="F330" s="218"/>
    </row>
    <row r="331" spans="1:6" x14ac:dyDescent="0.3">
      <c r="A331" s="262" t="str">
        <f t="shared" ca="1" si="4"/>
        <v>Annexes</v>
      </c>
      <c r="B331" s="261"/>
      <c r="C331" s="244" t="s">
        <v>234</v>
      </c>
      <c r="D331" s="244" t="s">
        <v>262</v>
      </c>
      <c r="E331" s="244" t="s">
        <v>929</v>
      </c>
      <c r="F331" s="218" t="s">
        <v>659</v>
      </c>
    </row>
    <row r="332" spans="1:6" ht="41.4" x14ac:dyDescent="0.3">
      <c r="A332" s="262" t="str">
        <f t="shared" ca="1" si="4"/>
        <v>Au moins : mandat de projet, plan détaillé, équipe de projet, budget, état du projet.</v>
      </c>
      <c r="B332" s="261"/>
      <c r="C332" s="244" t="s">
        <v>317</v>
      </c>
      <c r="D332" s="244" t="s">
        <v>350</v>
      </c>
      <c r="E332" s="244" t="s">
        <v>882</v>
      </c>
      <c r="F332" s="218" t="s">
        <v>714</v>
      </c>
    </row>
    <row r="333" spans="1:6" ht="14.4" x14ac:dyDescent="0.3">
      <c r="A333" s="263">
        <f t="shared" ca="1" si="4"/>
        <v>0</v>
      </c>
      <c r="B333" s="261"/>
      <c r="C333" s="264"/>
      <c r="D333" s="264"/>
      <c r="E333" s="264"/>
      <c r="F333" s="265"/>
    </row>
    <row r="334" spans="1:6" s="252" customFormat="1" x14ac:dyDescent="0.3">
      <c r="A334" s="259" t="str">
        <f t="shared" ref="A334:A357" ca="1" si="5">OFFSET($C334,0,$B$4-1)</f>
        <v>A N A L Y S E   S W O T</v>
      </c>
      <c r="B334" s="251"/>
      <c r="C334" s="259" t="s">
        <v>367</v>
      </c>
      <c r="D334" s="259" t="s">
        <v>368</v>
      </c>
      <c r="E334" s="259" t="s">
        <v>883</v>
      </c>
      <c r="F334" s="266" t="s">
        <v>526</v>
      </c>
    </row>
    <row r="335" spans="1:6" x14ac:dyDescent="0.3">
      <c r="A335" s="260" t="str">
        <f t="shared" ca="1" si="5"/>
        <v>Forces</v>
      </c>
      <c r="B335" s="239"/>
      <c r="C335" s="267" t="s">
        <v>1459</v>
      </c>
      <c r="D335" s="267" t="s">
        <v>1460</v>
      </c>
      <c r="E335" s="267" t="s">
        <v>1417</v>
      </c>
      <c r="F335" s="268" t="s">
        <v>1464</v>
      </c>
    </row>
    <row r="336" spans="1:6" x14ac:dyDescent="0.3">
      <c r="A336" s="262" t="str">
        <f t="shared" ca="1" si="5"/>
        <v>Faiblesses</v>
      </c>
      <c r="B336" s="239"/>
      <c r="C336" s="269" t="s">
        <v>1462</v>
      </c>
      <c r="D336" s="269" t="s">
        <v>1461</v>
      </c>
      <c r="E336" s="269" t="s">
        <v>1418</v>
      </c>
      <c r="F336" s="253" t="s">
        <v>1465</v>
      </c>
    </row>
    <row r="337" spans="1:6" x14ac:dyDescent="0.3">
      <c r="A337" s="262" t="str">
        <f t="shared" ca="1" si="5"/>
        <v>Opportunités</v>
      </c>
      <c r="B337" s="239"/>
      <c r="C337" s="269" t="s">
        <v>1463</v>
      </c>
      <c r="D337" s="269" t="s">
        <v>1466</v>
      </c>
      <c r="E337" s="269" t="s">
        <v>884</v>
      </c>
      <c r="F337" s="253" t="s">
        <v>532</v>
      </c>
    </row>
    <row r="338" spans="1:6" x14ac:dyDescent="0.3">
      <c r="A338" s="263" t="str">
        <f t="shared" ca="1" si="5"/>
        <v>Menaces</v>
      </c>
      <c r="B338" s="239"/>
      <c r="C338" s="270" t="s">
        <v>1468</v>
      </c>
      <c r="D338" s="270" t="s">
        <v>1467</v>
      </c>
      <c r="E338" s="270" t="s">
        <v>1419</v>
      </c>
      <c r="F338" s="271" t="s">
        <v>1420</v>
      </c>
    </row>
    <row r="339" spans="1:6" s="252" customFormat="1" x14ac:dyDescent="0.3">
      <c r="A339" s="259" t="str">
        <f t="shared" ca="1" si="5"/>
        <v>A N A L Y S E   D U   R I S Q U E</v>
      </c>
      <c r="B339" s="251"/>
      <c r="C339" s="259" t="s">
        <v>436</v>
      </c>
      <c r="D339" s="259" t="s">
        <v>435</v>
      </c>
      <c r="E339" s="259" t="s">
        <v>885</v>
      </c>
      <c r="F339" s="266" t="s">
        <v>527</v>
      </c>
    </row>
    <row r="340" spans="1:6" x14ac:dyDescent="0.3">
      <c r="A340" s="260" t="str">
        <f t="shared" ca="1" si="5"/>
        <v>Probabilité d'occurrence</v>
      </c>
      <c r="B340" s="239"/>
      <c r="C340" s="267" t="s">
        <v>384</v>
      </c>
      <c r="D340" s="267" t="s">
        <v>385</v>
      </c>
      <c r="E340" s="267" t="s">
        <v>923</v>
      </c>
      <c r="F340" s="268" t="s">
        <v>528</v>
      </c>
    </row>
    <row r="341" spans="1:6" x14ac:dyDescent="0.3">
      <c r="A341" s="262" t="str">
        <f t="shared" ca="1" si="5"/>
        <v>élevée</v>
      </c>
      <c r="B341" s="239"/>
      <c r="C341" s="269" t="s">
        <v>386</v>
      </c>
      <c r="D341" s="269" t="s">
        <v>387</v>
      </c>
      <c r="E341" s="269" t="s">
        <v>886</v>
      </c>
      <c r="F341" s="253" t="s">
        <v>529</v>
      </c>
    </row>
    <row r="342" spans="1:6" x14ac:dyDescent="0.3">
      <c r="A342" s="262" t="str">
        <f t="shared" ca="1" si="5"/>
        <v>moyenne</v>
      </c>
      <c r="B342" s="239"/>
      <c r="C342" s="269" t="s">
        <v>388</v>
      </c>
      <c r="D342" s="269" t="s">
        <v>389</v>
      </c>
      <c r="E342" s="269" t="s">
        <v>887</v>
      </c>
      <c r="F342" s="253" t="s">
        <v>530</v>
      </c>
    </row>
    <row r="343" spans="1:6" x14ac:dyDescent="0.3">
      <c r="A343" s="262" t="str">
        <f t="shared" ca="1" si="5"/>
        <v>faible</v>
      </c>
      <c r="B343" s="239"/>
      <c r="C343" s="269" t="s">
        <v>390</v>
      </c>
      <c r="D343" s="269" t="s">
        <v>391</v>
      </c>
      <c r="E343" s="269" t="s">
        <v>888</v>
      </c>
      <c r="F343" s="253" t="s">
        <v>531</v>
      </c>
    </row>
    <row r="344" spans="1:6" x14ac:dyDescent="0.3">
      <c r="A344" s="262" t="str">
        <f t="shared" ca="1" si="5"/>
        <v>Étendue des dégâts</v>
      </c>
      <c r="B344" s="239"/>
      <c r="C344" s="269" t="s">
        <v>392</v>
      </c>
      <c r="D344" s="269" t="s">
        <v>393</v>
      </c>
      <c r="E344" s="269" t="s">
        <v>889</v>
      </c>
      <c r="F344" s="253" t="s">
        <v>533</v>
      </c>
    </row>
    <row r="345" spans="1:6" x14ac:dyDescent="0.3">
      <c r="A345" s="262" t="str">
        <f t="shared" ca="1" si="5"/>
        <v>Aucune action nécessaire</v>
      </c>
      <c r="B345" s="239"/>
      <c r="C345" s="269" t="s">
        <v>394</v>
      </c>
      <c r="D345" s="269" t="s">
        <v>395</v>
      </c>
      <c r="E345" s="269" t="s">
        <v>890</v>
      </c>
      <c r="F345" s="253" t="s">
        <v>534</v>
      </c>
    </row>
    <row r="346" spans="1:6" x14ac:dyDescent="0.3">
      <c r="A346" s="262" t="str">
        <f t="shared" ca="1" si="5"/>
        <v>Action nécessaire</v>
      </c>
      <c r="B346" s="239"/>
      <c r="C346" s="269" t="s">
        <v>396</v>
      </c>
      <c r="D346" s="269" t="s">
        <v>397</v>
      </c>
      <c r="E346" s="269" t="s">
        <v>891</v>
      </c>
      <c r="F346" s="253" t="s">
        <v>535</v>
      </c>
    </row>
    <row r="347" spans="1:6" x14ac:dyDescent="0.3">
      <c r="A347" s="262" t="str">
        <f t="shared" ca="1" si="5"/>
        <v>Action urgente</v>
      </c>
      <c r="B347" s="239"/>
      <c r="C347" s="269" t="s">
        <v>398</v>
      </c>
      <c r="D347" s="269" t="s">
        <v>399</v>
      </c>
      <c r="E347" s="269" t="s">
        <v>892</v>
      </c>
      <c r="F347" s="253" t="s">
        <v>536</v>
      </c>
    </row>
    <row r="348" spans="1:6" x14ac:dyDescent="0.3">
      <c r="A348" s="262" t="str">
        <f t="shared" ca="1" si="5"/>
        <v>No.</v>
      </c>
      <c r="B348" s="239"/>
      <c r="C348" s="269" t="s">
        <v>400</v>
      </c>
      <c r="D348" s="269" t="s">
        <v>401</v>
      </c>
      <c r="E348" s="269" t="s">
        <v>401</v>
      </c>
      <c r="F348" s="253" t="s">
        <v>537</v>
      </c>
    </row>
    <row r="349" spans="1:6" x14ac:dyDescent="0.3">
      <c r="A349" s="262" t="str">
        <f t="shared" ca="1" si="5"/>
        <v>Risque</v>
      </c>
      <c r="B349" s="239"/>
      <c r="C349" s="269" t="s">
        <v>402</v>
      </c>
      <c r="D349" s="269" t="s">
        <v>403</v>
      </c>
      <c r="E349" s="269" t="s">
        <v>893</v>
      </c>
      <c r="F349" s="253" t="s">
        <v>538</v>
      </c>
    </row>
    <row r="350" spans="1:6" x14ac:dyDescent="0.3">
      <c r="A350" s="262" t="str">
        <f t="shared" ca="1" si="5"/>
        <v>Impact</v>
      </c>
      <c r="B350" s="239"/>
      <c r="C350" s="269" t="s">
        <v>404</v>
      </c>
      <c r="D350" s="269" t="s">
        <v>405</v>
      </c>
      <c r="E350" s="269" t="s">
        <v>894</v>
      </c>
      <c r="F350" s="253" t="s">
        <v>539</v>
      </c>
    </row>
    <row r="351" spans="1:6" x14ac:dyDescent="0.3">
      <c r="A351" s="262" t="str">
        <f t="shared" ca="1" si="5"/>
        <v>Probabilité d'occurrence</v>
      </c>
      <c r="B351" s="239"/>
      <c r="C351" s="269" t="s">
        <v>406</v>
      </c>
      <c r="D351" s="269" t="s">
        <v>385</v>
      </c>
      <c r="E351" s="269" t="s">
        <v>923</v>
      </c>
      <c r="F351" s="253" t="s">
        <v>528</v>
      </c>
    </row>
    <row r="352" spans="1:6" x14ac:dyDescent="0.3">
      <c r="A352" s="262" t="str">
        <f t="shared" ca="1" si="5"/>
        <v>Étendue des dommages</v>
      </c>
      <c r="B352" s="239"/>
      <c r="C352" s="269" t="s">
        <v>407</v>
      </c>
      <c r="D352" s="269" t="s">
        <v>408</v>
      </c>
      <c r="E352" s="269" t="s">
        <v>889</v>
      </c>
      <c r="F352" s="253" t="s">
        <v>533</v>
      </c>
    </row>
    <row r="353" spans="1:6" ht="27.6" x14ac:dyDescent="0.3">
      <c r="A353" s="262" t="str">
        <f t="shared" ca="1" si="5"/>
        <v>Ten-
dance</v>
      </c>
      <c r="B353" s="239"/>
      <c r="C353" s="269" t="s">
        <v>409</v>
      </c>
      <c r="D353" s="269" t="s">
        <v>410</v>
      </c>
      <c r="E353" s="269" t="s">
        <v>926</v>
      </c>
      <c r="F353" s="253" t="s">
        <v>542</v>
      </c>
    </row>
    <row r="354" spans="1:6" x14ac:dyDescent="0.3">
      <c r="A354" s="262" t="str">
        <f t="shared" ca="1" si="5"/>
        <v>Mesures possibles</v>
      </c>
      <c r="B354" s="239"/>
      <c r="C354" s="269" t="s">
        <v>411</v>
      </c>
      <c r="D354" s="269" t="s">
        <v>412</v>
      </c>
      <c r="E354" s="269" t="s">
        <v>895</v>
      </c>
      <c r="F354" s="253" t="s">
        <v>540</v>
      </c>
    </row>
    <row r="355" spans="1:6" x14ac:dyDescent="0.3">
      <c r="A355" s="262" t="str">
        <f t="shared" ca="1" si="5"/>
        <v>Statut</v>
      </c>
      <c r="B355" s="239"/>
      <c r="C355" s="269" t="s">
        <v>413</v>
      </c>
      <c r="D355" s="269" t="s">
        <v>414</v>
      </c>
      <c r="E355" s="269" t="s">
        <v>413</v>
      </c>
      <c r="F355" s="253" t="s">
        <v>413</v>
      </c>
    </row>
    <row r="356" spans="1:6" x14ac:dyDescent="0.3">
      <c r="A356" s="263" t="str">
        <f t="shared" ca="1" si="5"/>
        <v>Étendue de l'impact</v>
      </c>
      <c r="B356" s="239"/>
      <c r="C356" s="270" t="s">
        <v>415</v>
      </c>
      <c r="D356" s="270" t="s">
        <v>416</v>
      </c>
      <c r="E356" s="270" t="s">
        <v>896</v>
      </c>
      <c r="F356" s="271" t="s">
        <v>541</v>
      </c>
    </row>
    <row r="357" spans="1:6" s="252" customFormat="1" x14ac:dyDescent="0.3">
      <c r="A357" s="259" t="str">
        <f t="shared" ca="1" si="5"/>
        <v>F A I S A B I L I T É</v>
      </c>
      <c r="B357" s="251"/>
      <c r="C357" s="259" t="s">
        <v>2187</v>
      </c>
      <c r="D357" s="259" t="s">
        <v>2188</v>
      </c>
      <c r="E357" s="259" t="s">
        <v>2189</v>
      </c>
      <c r="F357" s="266" t="s">
        <v>2190</v>
      </c>
    </row>
    <row r="358" spans="1:6" x14ac:dyDescent="0.3">
      <c r="A358" s="260" t="str">
        <f t="shared" ref="A358:A422" ca="1" si="6">OFFSET($C358,0,$B$4-1)</f>
        <v>Faisabilité organisationnelle</v>
      </c>
      <c r="B358" s="261"/>
      <c r="C358" s="272" t="s">
        <v>420</v>
      </c>
      <c r="D358" s="241" t="s">
        <v>422</v>
      </c>
      <c r="E358" s="241" t="s">
        <v>924</v>
      </c>
      <c r="F358" s="242" t="s">
        <v>543</v>
      </c>
    </row>
    <row r="359" spans="1:6" x14ac:dyDescent="0.3">
      <c r="A359" s="262" t="str">
        <f t="shared" ca="1" si="6"/>
        <v>Faisabilité économique</v>
      </c>
      <c r="B359" s="261"/>
      <c r="C359" s="244" t="s">
        <v>418</v>
      </c>
      <c r="D359" s="244" t="s">
        <v>423</v>
      </c>
      <c r="E359" s="244" t="s">
        <v>897</v>
      </c>
      <c r="F359" s="218" t="s">
        <v>544</v>
      </c>
    </row>
    <row r="360" spans="1:6" x14ac:dyDescent="0.3">
      <c r="A360" s="262" t="str">
        <f t="shared" ca="1" si="6"/>
        <v>Faisabilité technique</v>
      </c>
      <c r="B360" s="261"/>
      <c r="C360" s="244" t="s">
        <v>417</v>
      </c>
      <c r="D360" s="244" t="s">
        <v>424</v>
      </c>
      <c r="E360" s="244" t="s">
        <v>898</v>
      </c>
      <c r="F360" s="218" t="s">
        <v>545</v>
      </c>
    </row>
    <row r="361" spans="1:6" x14ac:dyDescent="0.3">
      <c r="A361" s="262" t="str">
        <f t="shared" ca="1" si="6"/>
        <v>Ressources et temps</v>
      </c>
      <c r="B361" s="261"/>
      <c r="C361" s="244" t="s">
        <v>419</v>
      </c>
      <c r="D361" s="244" t="s">
        <v>425</v>
      </c>
      <c r="E361" s="244" t="s">
        <v>899</v>
      </c>
      <c r="F361" s="218" t="s">
        <v>546</v>
      </c>
    </row>
    <row r="362" spans="1:6" x14ac:dyDescent="0.3">
      <c r="A362" s="262" t="str">
        <f t="shared" ca="1" si="6"/>
        <v>Faisabilité juridique</v>
      </c>
      <c r="B362" s="261"/>
      <c r="C362" s="244" t="s">
        <v>421</v>
      </c>
      <c r="D362" s="244" t="s">
        <v>426</v>
      </c>
      <c r="E362" s="244" t="s">
        <v>900</v>
      </c>
      <c r="F362" s="218" t="s">
        <v>547</v>
      </c>
    </row>
    <row r="363" spans="1:6" x14ac:dyDescent="0.3">
      <c r="A363" s="262" t="str">
        <f t="shared" ca="1" si="6"/>
        <v>No.</v>
      </c>
      <c r="B363" s="239"/>
      <c r="C363" s="269" t="s">
        <v>400</v>
      </c>
      <c r="D363" s="269" t="s">
        <v>401</v>
      </c>
      <c r="E363" s="269" t="s">
        <v>401</v>
      </c>
      <c r="F363" s="253" t="s">
        <v>537</v>
      </c>
    </row>
    <row r="364" spans="1:6" x14ac:dyDescent="0.3">
      <c r="A364" s="262" t="str">
        <f t="shared" ca="1" si="6"/>
        <v>Désignation</v>
      </c>
      <c r="B364" s="239"/>
      <c r="C364" s="269" t="s">
        <v>427</v>
      </c>
      <c r="D364" s="269" t="s">
        <v>428</v>
      </c>
      <c r="E364" s="269" t="s">
        <v>815</v>
      </c>
      <c r="F364" s="253" t="s">
        <v>548</v>
      </c>
    </row>
    <row r="365" spans="1:6" x14ac:dyDescent="0.3">
      <c r="A365" s="262" t="str">
        <f t="shared" ca="1" si="6"/>
        <v>Impact</v>
      </c>
      <c r="B365" s="239"/>
      <c r="C365" s="269" t="s">
        <v>404</v>
      </c>
      <c r="D365" s="269" t="s">
        <v>405</v>
      </c>
      <c r="E365" s="269" t="s">
        <v>894</v>
      </c>
      <c r="F365" s="253" t="s">
        <v>539</v>
      </c>
    </row>
    <row r="366" spans="1:6" x14ac:dyDescent="0.3">
      <c r="A366" s="262" t="str">
        <f t="shared" ca="1" si="6"/>
        <v>Degré de danger</v>
      </c>
      <c r="B366" s="239"/>
      <c r="C366" s="269" t="s">
        <v>429</v>
      </c>
      <c r="D366" s="269" t="s">
        <v>430</v>
      </c>
      <c r="E366" s="269" t="s">
        <v>925</v>
      </c>
      <c r="F366" s="253" t="s">
        <v>549</v>
      </c>
    </row>
    <row r="367" spans="1:6" x14ac:dyDescent="0.3">
      <c r="A367" s="262" t="str">
        <f t="shared" ca="1" si="6"/>
        <v>Impact sur le projet</v>
      </c>
      <c r="B367" s="239"/>
      <c r="C367" s="269" t="s">
        <v>434</v>
      </c>
      <c r="D367" s="269" t="s">
        <v>433</v>
      </c>
      <c r="E367" s="269" t="s">
        <v>901</v>
      </c>
      <c r="F367" s="253" t="s">
        <v>550</v>
      </c>
    </row>
    <row r="368" spans="1:6" ht="27.6" x14ac:dyDescent="0.3">
      <c r="A368" s="262" t="str">
        <f t="shared" ca="1" si="6"/>
        <v>Ten-
dance</v>
      </c>
      <c r="B368" s="239"/>
      <c r="C368" s="269" t="s">
        <v>409</v>
      </c>
      <c r="D368" s="269" t="s">
        <v>410</v>
      </c>
      <c r="E368" s="269" t="s">
        <v>926</v>
      </c>
      <c r="F368" s="253" t="s">
        <v>542</v>
      </c>
    </row>
    <row r="369" spans="1:6" x14ac:dyDescent="0.3">
      <c r="A369" s="262" t="str">
        <f t="shared" ca="1" si="6"/>
        <v>Mesures possibles</v>
      </c>
      <c r="B369" s="239"/>
      <c r="C369" s="269" t="s">
        <v>411</v>
      </c>
      <c r="D369" s="269" t="s">
        <v>412</v>
      </c>
      <c r="E369" s="269" t="s">
        <v>895</v>
      </c>
      <c r="F369" s="253" t="s">
        <v>540</v>
      </c>
    </row>
    <row r="370" spans="1:6" x14ac:dyDescent="0.3">
      <c r="A370" s="262" t="str">
        <f t="shared" ca="1" si="6"/>
        <v>Statut</v>
      </c>
      <c r="B370" s="239"/>
      <c r="C370" s="269" t="s">
        <v>413</v>
      </c>
      <c r="D370" s="269" t="s">
        <v>414</v>
      </c>
      <c r="E370" s="269" t="s">
        <v>413</v>
      </c>
      <c r="F370" s="253" t="s">
        <v>413</v>
      </c>
    </row>
    <row r="371" spans="1:6" x14ac:dyDescent="0.3">
      <c r="A371" s="262" t="str">
        <f t="shared" ca="1" si="6"/>
        <v>Moyenne</v>
      </c>
      <c r="B371" s="239"/>
      <c r="C371" s="269" t="s">
        <v>431</v>
      </c>
      <c r="D371" s="269" t="s">
        <v>432</v>
      </c>
      <c r="E371" s="269" t="s">
        <v>902</v>
      </c>
      <c r="F371" s="253" t="s">
        <v>530</v>
      </c>
    </row>
    <row r="372" spans="1:6" x14ac:dyDescent="0.3">
      <c r="A372" s="245" t="str">
        <f t="shared" ca="1" si="6"/>
        <v>Somme</v>
      </c>
      <c r="B372" s="239"/>
      <c r="C372" s="273" t="s">
        <v>1514</v>
      </c>
      <c r="D372" s="273" t="s">
        <v>1515</v>
      </c>
      <c r="E372" s="273" t="s">
        <v>1516</v>
      </c>
      <c r="F372" s="274" t="s">
        <v>1517</v>
      </c>
    </row>
    <row r="373" spans="1:6" x14ac:dyDescent="0.3">
      <c r="A373" s="245" t="str">
        <f t="shared" ca="1" si="6"/>
        <v>Faisabilité</v>
      </c>
      <c r="B373" s="239"/>
      <c r="C373" s="273" t="s">
        <v>936</v>
      </c>
      <c r="D373" s="273" t="s">
        <v>937</v>
      </c>
      <c r="E373" s="273" t="s">
        <v>938</v>
      </c>
      <c r="F373" s="274" t="s">
        <v>939</v>
      </c>
    </row>
    <row r="374" spans="1:6" s="276" customFormat="1" ht="26.4" x14ac:dyDescent="0.3">
      <c r="A374" s="259" t="str">
        <f t="shared" ca="1" si="6"/>
        <v>D I A G R A M M E   D E   C A U S E S   E T   E F F E T S</v>
      </c>
      <c r="B374" s="275"/>
      <c r="C374" s="259" t="s">
        <v>953</v>
      </c>
      <c r="D374" s="259" t="s">
        <v>954</v>
      </c>
      <c r="E374" s="259" t="s">
        <v>958</v>
      </c>
      <c r="F374" s="266" t="s">
        <v>960</v>
      </c>
    </row>
    <row r="375" spans="1:6" x14ac:dyDescent="0.3">
      <c r="A375" s="277" t="str">
        <f t="shared" ca="1" si="6"/>
        <v>Causes - Effets</v>
      </c>
      <c r="B375" s="261"/>
      <c r="C375" s="278" t="s">
        <v>956</v>
      </c>
      <c r="D375" s="278" t="s">
        <v>957</v>
      </c>
      <c r="E375" s="278" t="s">
        <v>959</v>
      </c>
      <c r="F375" s="279" t="s">
        <v>961</v>
      </c>
    </row>
    <row r="376" spans="1:6" s="276" customFormat="1" x14ac:dyDescent="0.3">
      <c r="A376" s="259" t="str">
        <f t="shared" ca="1" si="6"/>
        <v>C O N T R O L L I N G   P R O J E T S</v>
      </c>
      <c r="B376" s="275"/>
      <c r="C376" s="259" t="s">
        <v>1021</v>
      </c>
      <c r="D376" s="259" t="s">
        <v>968</v>
      </c>
      <c r="E376" s="259" t="s">
        <v>1022</v>
      </c>
      <c r="F376" s="266" t="s">
        <v>1027</v>
      </c>
    </row>
    <row r="377" spans="1:6" x14ac:dyDescent="0.3">
      <c r="A377" s="260" t="str">
        <f t="shared" ca="1" si="6"/>
        <v>No.</v>
      </c>
      <c r="B377" s="261"/>
      <c r="C377" s="267" t="s">
        <v>400</v>
      </c>
      <c r="D377" s="267" t="s">
        <v>401</v>
      </c>
      <c r="E377" s="267" t="s">
        <v>401</v>
      </c>
      <c r="F377" s="268" t="s">
        <v>537</v>
      </c>
    </row>
    <row r="378" spans="1:6" x14ac:dyDescent="0.3">
      <c r="A378" s="262" t="str">
        <f t="shared" ca="1" si="6"/>
        <v>Projets</v>
      </c>
      <c r="B378" s="261"/>
      <c r="C378" s="244" t="s">
        <v>1023</v>
      </c>
      <c r="D378" s="244" t="s">
        <v>969</v>
      </c>
      <c r="E378" s="244" t="s">
        <v>1024</v>
      </c>
      <c r="F378" s="218" t="s">
        <v>1026</v>
      </c>
    </row>
    <row r="379" spans="1:6" x14ac:dyDescent="0.3">
      <c r="A379" s="262" t="str">
        <f t="shared" ca="1" si="6"/>
        <v>Début</v>
      </c>
      <c r="B379" s="261"/>
      <c r="C379" s="269" t="s">
        <v>65</v>
      </c>
      <c r="D379" s="269" t="s">
        <v>104</v>
      </c>
      <c r="E379" s="269" t="s">
        <v>774</v>
      </c>
      <c r="F379" s="253" t="s">
        <v>610</v>
      </c>
    </row>
    <row r="380" spans="1:6" x14ac:dyDescent="0.3">
      <c r="A380" s="262" t="str">
        <f t="shared" ca="1" si="6"/>
        <v>Fin</v>
      </c>
      <c r="B380" s="261"/>
      <c r="C380" s="269" t="s">
        <v>66</v>
      </c>
      <c r="D380" s="269" t="s">
        <v>105</v>
      </c>
      <c r="E380" s="269" t="s">
        <v>775</v>
      </c>
      <c r="F380" s="253" t="s">
        <v>611</v>
      </c>
    </row>
    <row r="381" spans="1:6" x14ac:dyDescent="0.3">
      <c r="A381" s="262" t="str">
        <f t="shared" ca="1" si="6"/>
        <v>Qui ?</v>
      </c>
      <c r="B381" s="261"/>
      <c r="C381" s="269" t="s">
        <v>20</v>
      </c>
      <c r="D381" s="269" t="s">
        <v>1025</v>
      </c>
      <c r="E381" s="269" t="s">
        <v>763</v>
      </c>
      <c r="F381" s="253" t="s">
        <v>597</v>
      </c>
    </row>
    <row r="382" spans="1:6" x14ac:dyDescent="0.3">
      <c r="A382" s="263" t="str">
        <f t="shared" ca="1" si="6"/>
        <v>Commentaires</v>
      </c>
      <c r="B382" s="261"/>
      <c r="C382" s="246" t="s">
        <v>22</v>
      </c>
      <c r="D382" s="246" t="s">
        <v>117</v>
      </c>
      <c r="E382" s="246" t="s">
        <v>798</v>
      </c>
      <c r="F382" s="247" t="s">
        <v>633</v>
      </c>
    </row>
    <row r="383" spans="1:6" s="276" customFormat="1" x14ac:dyDescent="0.3">
      <c r="A383" s="280" t="str">
        <f t="shared" ca="1" si="6"/>
        <v>Calendrier</v>
      </c>
      <c r="B383" s="251"/>
      <c r="C383" s="281" t="s">
        <v>1040</v>
      </c>
      <c r="D383" s="282" t="s">
        <v>1061</v>
      </c>
      <c r="E383" s="282" t="s">
        <v>1042</v>
      </c>
      <c r="F383" s="283" t="s">
        <v>1041</v>
      </c>
    </row>
    <row r="384" spans="1:6" x14ac:dyDescent="0.3">
      <c r="A384" s="260" t="str">
        <f t="shared" ca="1" si="6"/>
        <v>Di</v>
      </c>
      <c r="B384" s="284"/>
      <c r="C384" s="241" t="s">
        <v>1051</v>
      </c>
      <c r="D384" s="241" t="s">
        <v>1046</v>
      </c>
      <c r="E384" s="241" t="s">
        <v>1056</v>
      </c>
      <c r="F384" s="242" t="s">
        <v>1054</v>
      </c>
    </row>
    <row r="385" spans="1:6" x14ac:dyDescent="0.3">
      <c r="A385" s="285" t="str">
        <f t="shared" ca="1" si="6"/>
        <v>Lu</v>
      </c>
      <c r="B385" s="284"/>
      <c r="C385" s="217" t="s">
        <v>1052</v>
      </c>
      <c r="D385" s="217" t="s">
        <v>1044</v>
      </c>
      <c r="E385" s="217" t="s">
        <v>1052</v>
      </c>
      <c r="F385" s="218" t="s">
        <v>1044</v>
      </c>
    </row>
    <row r="386" spans="1:6" x14ac:dyDescent="0.3">
      <c r="A386" s="285" t="str">
        <f t="shared" ca="1" si="6"/>
        <v>Ma</v>
      </c>
      <c r="B386" s="284"/>
      <c r="C386" s="217" t="s">
        <v>1046</v>
      </c>
      <c r="D386" s="217" t="s">
        <v>1045</v>
      </c>
      <c r="E386" s="217" t="s">
        <v>1057</v>
      </c>
      <c r="F386" s="218" t="s">
        <v>1045</v>
      </c>
    </row>
    <row r="387" spans="1:6" x14ac:dyDescent="0.3">
      <c r="A387" s="285" t="str">
        <f t="shared" ca="1" si="6"/>
        <v>Me</v>
      </c>
      <c r="B387" s="284"/>
      <c r="C387" s="217" t="s">
        <v>1053</v>
      </c>
      <c r="D387" s="217" t="s">
        <v>1047</v>
      </c>
      <c r="E387" s="217" t="s">
        <v>1058</v>
      </c>
      <c r="F387" s="218" t="s">
        <v>1047</v>
      </c>
    </row>
    <row r="388" spans="1:6" x14ac:dyDescent="0.3">
      <c r="A388" s="285" t="str">
        <f t="shared" ca="1" si="6"/>
        <v>Je</v>
      </c>
      <c r="B388" s="284"/>
      <c r="C388" s="217" t="s">
        <v>1054</v>
      </c>
      <c r="D388" s="217" t="s">
        <v>1050</v>
      </c>
      <c r="E388" s="217" t="s">
        <v>1059</v>
      </c>
      <c r="F388" s="218" t="s">
        <v>1060</v>
      </c>
    </row>
    <row r="389" spans="1:6" x14ac:dyDescent="0.3">
      <c r="A389" s="285" t="str">
        <f t="shared" ca="1" si="6"/>
        <v>Ve</v>
      </c>
      <c r="B389" s="284"/>
      <c r="C389" s="217" t="s">
        <v>1055</v>
      </c>
      <c r="D389" s="217" t="s">
        <v>1048</v>
      </c>
      <c r="E389" s="217" t="s">
        <v>1055</v>
      </c>
      <c r="F389" s="218" t="s">
        <v>1048</v>
      </c>
    </row>
    <row r="390" spans="1:6" x14ac:dyDescent="0.3">
      <c r="A390" s="285" t="str">
        <f t="shared" ca="1" si="6"/>
        <v>Sa</v>
      </c>
      <c r="B390" s="284"/>
      <c r="C390" s="217" t="s">
        <v>1049</v>
      </c>
      <c r="D390" s="217" t="s">
        <v>1049</v>
      </c>
      <c r="E390" s="217" t="s">
        <v>1049</v>
      </c>
      <c r="F390" s="218" t="s">
        <v>1049</v>
      </c>
    </row>
    <row r="391" spans="1:6" s="291" customFormat="1" ht="14.4" x14ac:dyDescent="0.3">
      <c r="A391" s="286" t="str">
        <f t="shared" ca="1" si="6"/>
        <v>C O M M U N I C A T I O N</v>
      </c>
      <c r="B391" s="287"/>
      <c r="C391" s="288" t="s">
        <v>1076</v>
      </c>
      <c r="D391" s="289" t="s">
        <v>1077</v>
      </c>
      <c r="E391" s="289" t="s">
        <v>1077</v>
      </c>
      <c r="F391" s="290" t="s">
        <v>1803</v>
      </c>
    </row>
    <row r="392" spans="1:6" s="291" customFormat="1" ht="14.4" x14ac:dyDescent="0.3">
      <c r="A392" s="292" t="str">
        <f t="shared" ca="1" si="6"/>
        <v>Objectifs</v>
      </c>
      <c r="B392" s="293"/>
      <c r="C392" s="254" t="s">
        <v>1804</v>
      </c>
      <c r="D392" s="254" t="s">
        <v>1805</v>
      </c>
      <c r="E392" s="254" t="s">
        <v>1806</v>
      </c>
      <c r="F392" s="255" t="s">
        <v>1807</v>
      </c>
    </row>
    <row r="393" spans="1:6" s="291" customFormat="1" ht="14.4" x14ac:dyDescent="0.3">
      <c r="A393" s="294" t="str">
        <f t="shared" ca="1" si="6"/>
        <v>Périodicité</v>
      </c>
      <c r="B393" s="293"/>
      <c r="C393" s="254" t="s">
        <v>1808</v>
      </c>
      <c r="D393" s="254" t="s">
        <v>1809</v>
      </c>
      <c r="E393" s="254" t="s">
        <v>1810</v>
      </c>
      <c r="F393" s="255" t="s">
        <v>1811</v>
      </c>
    </row>
    <row r="394" spans="1:6" s="291" customFormat="1" ht="14.4" x14ac:dyDescent="0.3">
      <c r="A394" s="294" t="str">
        <f t="shared" ca="1" si="6"/>
        <v>Internet</v>
      </c>
      <c r="B394" s="293"/>
      <c r="C394" s="254" t="s">
        <v>1078</v>
      </c>
      <c r="D394" s="254" t="s">
        <v>1078</v>
      </c>
      <c r="E394" s="254" t="s">
        <v>1078</v>
      </c>
      <c r="F394" s="255" t="s">
        <v>1812</v>
      </c>
    </row>
    <row r="395" spans="1:6" s="291" customFormat="1" ht="14.4" x14ac:dyDescent="0.3">
      <c r="A395" s="294" t="str">
        <f t="shared" ca="1" si="6"/>
        <v>Social Medias</v>
      </c>
      <c r="B395" s="293"/>
      <c r="C395" s="254" t="s">
        <v>1079</v>
      </c>
      <c r="D395" s="254" t="s">
        <v>1079</v>
      </c>
      <c r="E395" s="254" t="s">
        <v>1080</v>
      </c>
      <c r="F395" s="255" t="s">
        <v>1813</v>
      </c>
    </row>
    <row r="396" spans="1:6" s="291" customFormat="1" ht="14.4" x14ac:dyDescent="0.3">
      <c r="A396" s="294" t="str">
        <f t="shared" ca="1" si="6"/>
        <v>Relations publiques</v>
      </c>
      <c r="B396" s="293"/>
      <c r="C396" s="254" t="s">
        <v>1081</v>
      </c>
      <c r="D396" s="254" t="s">
        <v>1082</v>
      </c>
      <c r="E396" s="254" t="s">
        <v>1083</v>
      </c>
      <c r="F396" s="255" t="s">
        <v>1814</v>
      </c>
    </row>
    <row r="397" spans="1:6" s="291" customFormat="1" ht="14.4" x14ac:dyDescent="0.3">
      <c r="A397" s="294" t="str">
        <f t="shared" ca="1" si="6"/>
        <v>Divers</v>
      </c>
      <c r="B397" s="293"/>
      <c r="C397" s="254" t="s">
        <v>1084</v>
      </c>
      <c r="D397" s="254" t="s">
        <v>438</v>
      </c>
      <c r="E397" s="254" t="s">
        <v>784</v>
      </c>
      <c r="F397" s="255" t="s">
        <v>1815</v>
      </c>
    </row>
    <row r="398" spans="1:6" s="291" customFormat="1" ht="14.4" x14ac:dyDescent="0.3">
      <c r="A398" s="294" t="str">
        <f t="shared" ca="1" si="6"/>
        <v>Impact</v>
      </c>
      <c r="B398" s="293"/>
      <c r="C398" s="254" t="s">
        <v>405</v>
      </c>
      <c r="D398" s="254" t="s">
        <v>405</v>
      </c>
      <c r="E398" s="254" t="s">
        <v>405</v>
      </c>
      <c r="F398" s="255" t="s">
        <v>1816</v>
      </c>
    </row>
    <row r="399" spans="1:6" s="291" customFormat="1" ht="14.4" x14ac:dyDescent="0.3">
      <c r="A399" s="294" t="str">
        <f t="shared" ca="1" si="6"/>
        <v>No.</v>
      </c>
      <c r="B399" s="293"/>
      <c r="C399" s="293" t="s">
        <v>400</v>
      </c>
      <c r="D399" s="293" t="s">
        <v>401</v>
      </c>
      <c r="E399" s="293" t="s">
        <v>401</v>
      </c>
      <c r="F399" s="295" t="s">
        <v>1817</v>
      </c>
    </row>
    <row r="400" spans="1:6" s="291" customFormat="1" ht="14.4" x14ac:dyDescent="0.3">
      <c r="A400" s="294" t="str">
        <f t="shared" ca="1" si="6"/>
        <v>Public cible</v>
      </c>
      <c r="B400" s="293"/>
      <c r="C400" s="293" t="s">
        <v>1165</v>
      </c>
      <c r="D400" s="293" t="s">
        <v>1166</v>
      </c>
      <c r="E400" s="293" t="s">
        <v>1167</v>
      </c>
      <c r="F400" s="295" t="s">
        <v>1818</v>
      </c>
    </row>
    <row r="401" spans="1:6" s="291" customFormat="1" ht="14.4" x14ac:dyDescent="0.3">
      <c r="A401" s="294" t="str">
        <f t="shared" ca="1" si="6"/>
        <v>en %</v>
      </c>
      <c r="B401" s="293"/>
      <c r="C401" s="254" t="s">
        <v>32</v>
      </c>
      <c r="D401" s="254" t="s">
        <v>119</v>
      </c>
      <c r="E401" s="254" t="s">
        <v>624</v>
      </c>
      <c r="F401" s="255" t="s">
        <v>1819</v>
      </c>
    </row>
    <row r="402" spans="1:6" s="291" customFormat="1" ht="14.4" x14ac:dyDescent="0.3">
      <c r="A402" s="294" t="str">
        <f t="shared" ca="1" si="6"/>
        <v>Message clé</v>
      </c>
      <c r="B402" s="293"/>
      <c r="C402" s="254" t="s">
        <v>1168</v>
      </c>
      <c r="D402" s="254" t="s">
        <v>1169</v>
      </c>
      <c r="E402" s="254" t="s">
        <v>1170</v>
      </c>
      <c r="F402" s="255" t="s">
        <v>1820</v>
      </c>
    </row>
    <row r="403" spans="1:6" s="291" customFormat="1" ht="14.4" x14ac:dyDescent="0.3">
      <c r="A403" s="294" t="str">
        <f t="shared" ca="1" si="6"/>
        <v>Indicateurs</v>
      </c>
      <c r="B403" s="293"/>
      <c r="C403" s="254" t="s">
        <v>1171</v>
      </c>
      <c r="D403" s="254" t="s">
        <v>1172</v>
      </c>
      <c r="E403" s="254" t="s">
        <v>1173</v>
      </c>
      <c r="F403" s="255" t="s">
        <v>1821</v>
      </c>
    </row>
    <row r="404" spans="1:6" s="291" customFormat="1" ht="14.4" x14ac:dyDescent="0.3">
      <c r="A404" s="294" t="str">
        <f t="shared" ca="1" si="6"/>
        <v>Priorité</v>
      </c>
      <c r="B404" s="293"/>
      <c r="C404" s="254" t="s">
        <v>1085</v>
      </c>
      <c r="D404" s="254" t="s">
        <v>1086</v>
      </c>
      <c r="E404" s="254" t="s">
        <v>1087</v>
      </c>
      <c r="F404" s="255" t="s">
        <v>1822</v>
      </c>
    </row>
    <row r="405" spans="1:6" s="291" customFormat="1" ht="14.4" x14ac:dyDescent="0.3">
      <c r="A405" s="294" t="str">
        <f t="shared" ca="1" si="6"/>
        <v>Remarques</v>
      </c>
      <c r="B405" s="293"/>
      <c r="C405" s="254" t="s">
        <v>22</v>
      </c>
      <c r="D405" s="254" t="s">
        <v>128</v>
      </c>
      <c r="E405" s="254" t="s">
        <v>798</v>
      </c>
      <c r="F405" s="255" t="s">
        <v>1823</v>
      </c>
    </row>
    <row r="406" spans="1:6" s="291" customFormat="1" ht="14.4" x14ac:dyDescent="0.3">
      <c r="A406" s="296" t="str">
        <f t="shared" ca="1" si="6"/>
        <v>Qui ?</v>
      </c>
      <c r="B406" s="293"/>
      <c r="C406" s="297" t="s">
        <v>20</v>
      </c>
      <c r="D406" s="297" t="s">
        <v>1025</v>
      </c>
      <c r="E406" s="297" t="s">
        <v>763</v>
      </c>
      <c r="F406" s="298" t="s">
        <v>1824</v>
      </c>
    </row>
    <row r="407" spans="1:6" s="291" customFormat="1" ht="14.4" x14ac:dyDescent="0.3">
      <c r="A407" s="296" t="str">
        <f t="shared" ca="1" si="6"/>
        <v>Canal</v>
      </c>
      <c r="B407" s="293"/>
      <c r="C407" s="297" t="s">
        <v>1825</v>
      </c>
      <c r="D407" s="297" t="s">
        <v>1826</v>
      </c>
      <c r="E407" s="297" t="s">
        <v>1827</v>
      </c>
      <c r="F407" s="298" t="s">
        <v>1828</v>
      </c>
    </row>
    <row r="408" spans="1:6" x14ac:dyDescent="0.3">
      <c r="A408" s="285" t="str">
        <f t="shared" ca="1" si="6"/>
        <v>DOIT</v>
      </c>
      <c r="B408" s="284"/>
      <c r="C408" s="299" t="s">
        <v>1176</v>
      </c>
      <c r="D408" s="299" t="s">
        <v>1177</v>
      </c>
      <c r="E408" s="299" t="s">
        <v>1178</v>
      </c>
      <c r="F408" s="300" t="s">
        <v>1286</v>
      </c>
    </row>
    <row r="409" spans="1:6" x14ac:dyDescent="0.3">
      <c r="A409" s="285" t="str">
        <f t="shared" ca="1" si="6"/>
        <v>atteint</v>
      </c>
      <c r="B409" s="284"/>
      <c r="C409" s="299" t="s">
        <v>1179</v>
      </c>
      <c r="D409" s="299" t="s">
        <v>1180</v>
      </c>
      <c r="E409" s="299" t="s">
        <v>1181</v>
      </c>
      <c r="F409" s="300" t="s">
        <v>1287</v>
      </c>
    </row>
    <row r="410" spans="1:6" x14ac:dyDescent="0.3">
      <c r="A410" s="285" t="str">
        <f t="shared" ca="1" si="6"/>
        <v>Lun</v>
      </c>
      <c r="B410" s="284"/>
      <c r="C410" s="217" t="s">
        <v>1052</v>
      </c>
      <c r="D410" s="217" t="s">
        <v>1096</v>
      </c>
      <c r="E410" s="217" t="s">
        <v>1089</v>
      </c>
      <c r="F410" s="218" t="s">
        <v>1044</v>
      </c>
    </row>
    <row r="411" spans="1:6" x14ac:dyDescent="0.3">
      <c r="A411" s="285" t="str">
        <f t="shared" ca="1" si="6"/>
        <v>Mar</v>
      </c>
      <c r="B411" s="284"/>
      <c r="C411" s="217" t="s">
        <v>1046</v>
      </c>
      <c r="D411" s="217" t="s">
        <v>1097</v>
      </c>
      <c r="E411" s="217" t="s">
        <v>1090</v>
      </c>
      <c r="F411" s="218" t="s">
        <v>1045</v>
      </c>
    </row>
    <row r="412" spans="1:6" x14ac:dyDescent="0.3">
      <c r="A412" s="285" t="str">
        <f t="shared" ca="1" si="6"/>
        <v>Mer</v>
      </c>
      <c r="B412" s="284"/>
      <c r="C412" s="217" t="s">
        <v>1053</v>
      </c>
      <c r="D412" s="217" t="s">
        <v>1098</v>
      </c>
      <c r="E412" s="217" t="s">
        <v>1091</v>
      </c>
      <c r="F412" s="218" t="s">
        <v>1047</v>
      </c>
    </row>
    <row r="413" spans="1:6" x14ac:dyDescent="0.3">
      <c r="A413" s="285" t="str">
        <f t="shared" ca="1" si="6"/>
        <v>Jeu</v>
      </c>
      <c r="B413" s="284"/>
      <c r="C413" s="217" t="s">
        <v>1054</v>
      </c>
      <c r="D413" s="217" t="s">
        <v>1099</v>
      </c>
      <c r="E413" s="217" t="s">
        <v>1092</v>
      </c>
      <c r="F413" s="218" t="s">
        <v>1060</v>
      </c>
    </row>
    <row r="414" spans="1:6" x14ac:dyDescent="0.3">
      <c r="A414" s="285" t="str">
        <f t="shared" ca="1" si="6"/>
        <v>Ven</v>
      </c>
      <c r="B414" s="284"/>
      <c r="C414" s="217" t="s">
        <v>1055</v>
      </c>
      <c r="D414" s="217" t="s">
        <v>1100</v>
      </c>
      <c r="E414" s="217" t="s">
        <v>1093</v>
      </c>
      <c r="F414" s="218" t="s">
        <v>1048</v>
      </c>
    </row>
    <row r="415" spans="1:6" x14ac:dyDescent="0.3">
      <c r="A415" s="285" t="str">
        <f t="shared" ca="1" si="6"/>
        <v>Sam</v>
      </c>
      <c r="B415" s="284"/>
      <c r="C415" s="217" t="s">
        <v>1049</v>
      </c>
      <c r="D415" s="217" t="s">
        <v>1101</v>
      </c>
      <c r="E415" s="217" t="s">
        <v>1094</v>
      </c>
      <c r="F415" s="218" t="s">
        <v>1049</v>
      </c>
    </row>
    <row r="416" spans="1:6" x14ac:dyDescent="0.3">
      <c r="A416" s="285" t="str">
        <f t="shared" ca="1" si="6"/>
        <v>Dim</v>
      </c>
      <c r="B416" s="284"/>
      <c r="C416" s="217" t="s">
        <v>1051</v>
      </c>
      <c r="D416" s="217" t="s">
        <v>1102</v>
      </c>
      <c r="E416" s="217" t="s">
        <v>1095</v>
      </c>
      <c r="F416" s="218" t="s">
        <v>1054</v>
      </c>
    </row>
    <row r="417" spans="1:6" x14ac:dyDescent="0.3">
      <c r="A417" s="286" t="str">
        <f t="shared" ca="1" si="6"/>
        <v>Notes</v>
      </c>
      <c r="B417" s="287"/>
      <c r="C417" s="288" t="s">
        <v>1202</v>
      </c>
      <c r="D417" s="289" t="s">
        <v>1200</v>
      </c>
      <c r="E417" s="289" t="s">
        <v>1200</v>
      </c>
      <c r="F417" s="290" t="s">
        <v>1201</v>
      </c>
    </row>
    <row r="418" spans="1:6" x14ac:dyDescent="0.3">
      <c r="A418" s="285" t="str">
        <f t="shared" ca="1" si="6"/>
        <v>Date</v>
      </c>
      <c r="B418" s="284"/>
      <c r="C418" s="244" t="s">
        <v>23</v>
      </c>
      <c r="D418" s="244" t="s">
        <v>90</v>
      </c>
      <c r="E418" s="244" t="s">
        <v>90</v>
      </c>
      <c r="F418" s="218" t="s">
        <v>606</v>
      </c>
    </row>
    <row r="419" spans="1:6" x14ac:dyDescent="0.3">
      <c r="A419" s="285" t="str">
        <f t="shared" ca="1" si="6"/>
        <v>Quoi ?</v>
      </c>
      <c r="B419" s="284"/>
      <c r="C419" s="217" t="s">
        <v>19</v>
      </c>
      <c r="D419" s="217" t="s">
        <v>1203</v>
      </c>
      <c r="E419" s="217" t="s">
        <v>762</v>
      </c>
      <c r="F419" s="218" t="s">
        <v>1204</v>
      </c>
    </row>
    <row r="420" spans="1:6" x14ac:dyDescent="0.3">
      <c r="A420" s="285" t="str">
        <f t="shared" ca="1" si="6"/>
        <v>Qui ?</v>
      </c>
      <c r="B420" s="284"/>
      <c r="C420" s="217" t="s">
        <v>20</v>
      </c>
      <c r="D420" s="217" t="s">
        <v>1025</v>
      </c>
      <c r="E420" s="217" t="s">
        <v>763</v>
      </c>
      <c r="F420" s="218" t="s">
        <v>597</v>
      </c>
    </row>
    <row r="421" spans="1:6" x14ac:dyDescent="0.3">
      <c r="A421" s="286" t="str">
        <f t="shared" ca="1" si="6"/>
        <v>A D R E S S E S</v>
      </c>
      <c r="B421" s="287"/>
      <c r="C421" s="288" t="s">
        <v>1212</v>
      </c>
      <c r="D421" s="289" t="s">
        <v>1213</v>
      </c>
      <c r="E421" s="289" t="s">
        <v>1213</v>
      </c>
      <c r="F421" s="290" t="s">
        <v>1214</v>
      </c>
    </row>
    <row r="422" spans="1:6" x14ac:dyDescent="0.3">
      <c r="A422" s="285" t="str">
        <f t="shared" ca="1" si="6"/>
        <v>No.</v>
      </c>
      <c r="B422" s="284"/>
      <c r="C422" s="293" t="s">
        <v>400</v>
      </c>
      <c r="D422" s="293" t="s">
        <v>401</v>
      </c>
      <c r="E422" s="293" t="s">
        <v>401</v>
      </c>
      <c r="F422" s="295" t="s">
        <v>401</v>
      </c>
    </row>
    <row r="423" spans="1:6" x14ac:dyDescent="0.3">
      <c r="A423" s="285" t="str">
        <f t="shared" ref="A423:A487" ca="1" si="7">OFFSET($C423,0,$B$4-1)</f>
        <v>Nom</v>
      </c>
      <c r="B423" s="284"/>
      <c r="C423" s="241" t="s">
        <v>55</v>
      </c>
      <c r="D423" s="241" t="s">
        <v>125</v>
      </c>
      <c r="E423" s="241" t="s">
        <v>55</v>
      </c>
      <c r="F423" s="242" t="s">
        <v>642</v>
      </c>
    </row>
    <row r="424" spans="1:6" x14ac:dyDescent="0.3">
      <c r="A424" s="285" t="str">
        <f t="shared" ca="1" si="7"/>
        <v>Prénom</v>
      </c>
      <c r="B424" s="284"/>
      <c r="C424" s="244" t="s">
        <v>56</v>
      </c>
      <c r="D424" s="244" t="s">
        <v>126</v>
      </c>
      <c r="E424" s="244" t="s">
        <v>808</v>
      </c>
      <c r="F424" s="218" t="s">
        <v>548</v>
      </c>
    </row>
    <row r="425" spans="1:6" x14ac:dyDescent="0.3">
      <c r="A425" s="285" t="str">
        <f t="shared" ca="1" si="7"/>
        <v>e-mail</v>
      </c>
      <c r="B425" s="284"/>
      <c r="C425" s="244" t="s">
        <v>58</v>
      </c>
      <c r="D425" s="244" t="s">
        <v>58</v>
      </c>
      <c r="E425" s="244" t="s">
        <v>810</v>
      </c>
      <c r="F425" s="218" t="s">
        <v>644</v>
      </c>
    </row>
    <row r="426" spans="1:6" x14ac:dyDescent="0.3">
      <c r="A426" s="285" t="str">
        <f t="shared" ca="1" si="7"/>
        <v>Téléphone 1</v>
      </c>
      <c r="B426" s="284"/>
      <c r="C426" s="244" t="s">
        <v>1215</v>
      </c>
      <c r="D426" s="244" t="s">
        <v>1216</v>
      </c>
      <c r="E426" s="244" t="s">
        <v>1217</v>
      </c>
      <c r="F426" s="218" t="s">
        <v>1218</v>
      </c>
    </row>
    <row r="427" spans="1:6" x14ac:dyDescent="0.3">
      <c r="A427" s="285" t="str">
        <f t="shared" ca="1" si="7"/>
        <v>Téléphone 2</v>
      </c>
      <c r="B427" s="284"/>
      <c r="C427" s="244" t="s">
        <v>1219</v>
      </c>
      <c r="D427" s="244" t="s">
        <v>1220</v>
      </c>
      <c r="E427" s="244" t="s">
        <v>1221</v>
      </c>
      <c r="F427" s="218" t="s">
        <v>1222</v>
      </c>
    </row>
    <row r="428" spans="1:6" x14ac:dyDescent="0.3">
      <c r="A428" s="285" t="str">
        <f t="shared" ca="1" si="7"/>
        <v>Adresse 1</v>
      </c>
      <c r="B428" s="284"/>
      <c r="C428" s="217" t="s">
        <v>1208</v>
      </c>
      <c r="D428" s="217" t="s">
        <v>1208</v>
      </c>
      <c r="E428" s="217" t="s">
        <v>1208</v>
      </c>
      <c r="F428" s="218" t="s">
        <v>1223</v>
      </c>
    </row>
    <row r="429" spans="1:6" x14ac:dyDescent="0.3">
      <c r="A429" s="285" t="str">
        <f t="shared" ca="1" si="7"/>
        <v>Adresse 2</v>
      </c>
      <c r="B429" s="284"/>
      <c r="C429" s="217" t="s">
        <v>1209</v>
      </c>
      <c r="D429" s="217" t="s">
        <v>1209</v>
      </c>
      <c r="E429" s="217" t="s">
        <v>1209</v>
      </c>
      <c r="F429" s="218" t="s">
        <v>1224</v>
      </c>
    </row>
    <row r="430" spans="1:6" x14ac:dyDescent="0.3">
      <c r="A430" s="285" t="str">
        <f t="shared" ca="1" si="7"/>
        <v>CP</v>
      </c>
      <c r="B430" s="284"/>
      <c r="C430" s="217" t="s">
        <v>1225</v>
      </c>
      <c r="D430" s="217" t="s">
        <v>1210</v>
      </c>
      <c r="E430" s="217" t="s">
        <v>1226</v>
      </c>
      <c r="F430" s="218" t="s">
        <v>1210</v>
      </c>
    </row>
    <row r="431" spans="1:6" x14ac:dyDescent="0.3">
      <c r="A431" s="285" t="str">
        <f t="shared" ca="1" si="7"/>
        <v>Lieu</v>
      </c>
      <c r="B431" s="284"/>
      <c r="C431" s="217" t="s">
        <v>1227</v>
      </c>
      <c r="D431" s="217" t="s">
        <v>1211</v>
      </c>
      <c r="E431" s="217" t="s">
        <v>1229</v>
      </c>
      <c r="F431" s="218" t="s">
        <v>1228</v>
      </c>
    </row>
    <row r="432" spans="1:6" x14ac:dyDescent="0.3">
      <c r="A432" s="285" t="str">
        <f t="shared" ca="1" si="7"/>
        <v>Remarques</v>
      </c>
      <c r="B432" s="284"/>
      <c r="C432" s="244" t="s">
        <v>22</v>
      </c>
      <c r="D432" s="244" t="s">
        <v>128</v>
      </c>
      <c r="E432" s="244" t="s">
        <v>798</v>
      </c>
      <c r="F432" s="218" t="s">
        <v>633</v>
      </c>
    </row>
    <row r="433" spans="1:6" x14ac:dyDescent="0.3">
      <c r="A433" s="285" t="str">
        <f t="shared" ca="1" si="7"/>
        <v>Titre</v>
      </c>
      <c r="B433" s="284"/>
      <c r="C433" s="217" t="s">
        <v>1230</v>
      </c>
      <c r="D433" s="217" t="s">
        <v>1207</v>
      </c>
      <c r="E433" s="217" t="s">
        <v>815</v>
      </c>
      <c r="F433" s="218" t="s">
        <v>648</v>
      </c>
    </row>
    <row r="434" spans="1:6" x14ac:dyDescent="0.3">
      <c r="A434" s="286" t="str">
        <f t="shared" ca="1" si="7"/>
        <v>O R G A N I G R A M M E</v>
      </c>
      <c r="B434" s="287"/>
      <c r="C434" s="288" t="s">
        <v>1231</v>
      </c>
      <c r="D434" s="288" t="s">
        <v>1232</v>
      </c>
      <c r="E434" s="288" t="s">
        <v>1233</v>
      </c>
      <c r="F434" s="286" t="s">
        <v>1234</v>
      </c>
    </row>
    <row r="435" spans="1:6" x14ac:dyDescent="0.3">
      <c r="A435" s="285" t="str">
        <f t="shared" ca="1" si="7"/>
        <v>Mandant</v>
      </c>
      <c r="B435" s="284"/>
      <c r="C435" s="217" t="s">
        <v>1235</v>
      </c>
      <c r="D435" s="244" t="s">
        <v>1236</v>
      </c>
      <c r="E435" s="244" t="s">
        <v>1237</v>
      </c>
      <c r="F435" s="218" t="s">
        <v>1238</v>
      </c>
    </row>
    <row r="436" spans="1:6" x14ac:dyDescent="0.3">
      <c r="A436" s="285" t="str">
        <f t="shared" ca="1" si="7"/>
        <v>Chef de projet</v>
      </c>
      <c r="B436" s="284"/>
      <c r="C436" s="244" t="s">
        <v>1513</v>
      </c>
      <c r="D436" s="244" t="s">
        <v>224</v>
      </c>
      <c r="E436" s="244" t="s">
        <v>1239</v>
      </c>
      <c r="F436" s="218" t="s">
        <v>1240</v>
      </c>
    </row>
    <row r="437" spans="1:6" x14ac:dyDescent="0.3">
      <c r="A437" s="285" t="str">
        <f t="shared" ca="1" si="7"/>
        <v>Comité de pilotage</v>
      </c>
      <c r="B437" s="284"/>
      <c r="C437" s="244" t="s">
        <v>1255</v>
      </c>
      <c r="D437" s="244" t="s">
        <v>1264</v>
      </c>
      <c r="E437" s="244" t="s">
        <v>1261</v>
      </c>
      <c r="F437" s="218" t="s">
        <v>1256</v>
      </c>
    </row>
    <row r="438" spans="1:6" x14ac:dyDescent="0.3">
      <c r="A438" s="285" t="str">
        <f t="shared" ca="1" si="7"/>
        <v>Groupe d'experts</v>
      </c>
      <c r="B438" s="284"/>
      <c r="C438" s="217" t="s">
        <v>1241</v>
      </c>
      <c r="D438" s="217" t="s">
        <v>1254</v>
      </c>
      <c r="E438" s="217" t="s">
        <v>1262</v>
      </c>
      <c r="F438" s="218" t="s">
        <v>1263</v>
      </c>
    </row>
    <row r="439" spans="1:6" x14ac:dyDescent="0.3">
      <c r="A439" s="285" t="str">
        <f t="shared" ca="1" si="7"/>
        <v>Sous-projet 1</v>
      </c>
      <c r="B439" s="284"/>
      <c r="C439" s="241" t="s">
        <v>1242</v>
      </c>
      <c r="D439" s="241" t="s">
        <v>1246</v>
      </c>
      <c r="E439" s="241" t="s">
        <v>1250</v>
      </c>
      <c r="F439" s="242" t="s">
        <v>1257</v>
      </c>
    </row>
    <row r="440" spans="1:6" x14ac:dyDescent="0.3">
      <c r="A440" s="285" t="str">
        <f t="shared" ca="1" si="7"/>
        <v>Sous-projet 2</v>
      </c>
      <c r="B440" s="284"/>
      <c r="C440" s="244" t="s">
        <v>1243</v>
      </c>
      <c r="D440" s="241" t="s">
        <v>1247</v>
      </c>
      <c r="E440" s="241" t="s">
        <v>1251</v>
      </c>
      <c r="F440" s="242" t="s">
        <v>1258</v>
      </c>
    </row>
    <row r="441" spans="1:6" x14ac:dyDescent="0.3">
      <c r="A441" s="285" t="str">
        <f t="shared" ca="1" si="7"/>
        <v>Sous-projet 3</v>
      </c>
      <c r="B441" s="284"/>
      <c r="C441" s="244" t="s">
        <v>1244</v>
      </c>
      <c r="D441" s="241" t="s">
        <v>1248</v>
      </c>
      <c r="E441" s="241" t="s">
        <v>1252</v>
      </c>
      <c r="F441" s="242" t="s">
        <v>1259</v>
      </c>
    </row>
    <row r="442" spans="1:6" x14ac:dyDescent="0.3">
      <c r="A442" s="285" t="str">
        <f t="shared" ca="1" si="7"/>
        <v>Sous-projet 4</v>
      </c>
      <c r="B442" s="284"/>
      <c r="C442" s="244" t="s">
        <v>1245</v>
      </c>
      <c r="D442" s="241" t="s">
        <v>1249</v>
      </c>
      <c r="E442" s="241" t="s">
        <v>1253</v>
      </c>
      <c r="F442" s="242" t="s">
        <v>1260</v>
      </c>
    </row>
    <row r="443" spans="1:6" x14ac:dyDescent="0.3">
      <c r="A443" s="285" t="str">
        <f t="shared" ca="1" si="7"/>
        <v>Pilotage</v>
      </c>
      <c r="B443" s="284"/>
      <c r="C443" s="244" t="s">
        <v>1266</v>
      </c>
      <c r="D443" s="244" t="s">
        <v>1265</v>
      </c>
      <c r="E443" s="244" t="s">
        <v>1276</v>
      </c>
      <c r="F443" s="218" t="s">
        <v>1284</v>
      </c>
    </row>
    <row r="444" spans="1:6" x14ac:dyDescent="0.3">
      <c r="A444" s="285" t="str">
        <f t="shared" ca="1" si="7"/>
        <v>Conduite</v>
      </c>
      <c r="B444" s="284"/>
      <c r="C444" s="244" t="s">
        <v>1267</v>
      </c>
      <c r="D444" s="244" t="s">
        <v>1268</v>
      </c>
      <c r="E444" s="244" t="s">
        <v>1275</v>
      </c>
      <c r="F444" s="218" t="s">
        <v>1280</v>
      </c>
    </row>
    <row r="445" spans="1:6" x14ac:dyDescent="0.3">
      <c r="A445" s="285" t="str">
        <f t="shared" ca="1" si="7"/>
        <v>Exécution</v>
      </c>
      <c r="B445" s="284"/>
      <c r="C445" s="244" t="s">
        <v>1271</v>
      </c>
      <c r="D445" s="244" t="s">
        <v>1272</v>
      </c>
      <c r="E445" s="244" t="s">
        <v>1278</v>
      </c>
      <c r="F445" s="218" t="s">
        <v>1281</v>
      </c>
    </row>
    <row r="446" spans="1:6" x14ac:dyDescent="0.3">
      <c r="A446" s="285" t="str">
        <f t="shared" ca="1" si="7"/>
        <v>Spécialiste</v>
      </c>
      <c r="B446" s="284"/>
      <c r="C446" s="244" t="s">
        <v>1269</v>
      </c>
      <c r="D446" s="244" t="s">
        <v>1270</v>
      </c>
      <c r="E446" s="244" t="s">
        <v>1277</v>
      </c>
      <c r="F446" s="218" t="s">
        <v>1282</v>
      </c>
    </row>
    <row r="447" spans="1:6" x14ac:dyDescent="0.3">
      <c r="A447" s="285" t="str">
        <f t="shared" ca="1" si="7"/>
        <v>Assistance de projet</v>
      </c>
      <c r="B447" s="284"/>
      <c r="C447" s="244" t="s">
        <v>1274</v>
      </c>
      <c r="D447" s="244" t="s">
        <v>1273</v>
      </c>
      <c r="E447" s="244" t="s">
        <v>1279</v>
      </c>
      <c r="F447" s="218" t="s">
        <v>1283</v>
      </c>
    </row>
    <row r="448" spans="1:6" ht="27.6" x14ac:dyDescent="0.3">
      <c r="A448" s="285" t="str">
        <f t="shared" ca="1" si="7"/>
        <v>Gestion de la
qualité et des risques</v>
      </c>
      <c r="B448" s="284"/>
      <c r="C448" s="217" t="s">
        <v>1523</v>
      </c>
      <c r="D448" s="217" t="s">
        <v>1524</v>
      </c>
      <c r="E448" s="217" t="s">
        <v>1525</v>
      </c>
      <c r="F448" s="218" t="s">
        <v>1526</v>
      </c>
    </row>
    <row r="449" spans="1:6" x14ac:dyDescent="0.3">
      <c r="A449" s="286" t="str">
        <f t="shared" ca="1" si="7"/>
        <v>Aperçu des séances</v>
      </c>
      <c r="B449" s="287"/>
      <c r="C449" s="288" t="s">
        <v>1314</v>
      </c>
      <c r="D449" s="289" t="s">
        <v>1315</v>
      </c>
      <c r="E449" s="289" t="s">
        <v>1316</v>
      </c>
      <c r="F449" s="290" t="s">
        <v>1317</v>
      </c>
    </row>
    <row r="450" spans="1:6" x14ac:dyDescent="0.3">
      <c r="A450" s="285" t="str">
        <f t="shared" ca="1" si="7"/>
        <v>Date</v>
      </c>
      <c r="B450" s="284"/>
      <c r="C450" s="244" t="s">
        <v>23</v>
      </c>
      <c r="D450" s="244" t="s">
        <v>90</v>
      </c>
      <c r="E450" s="244" t="s">
        <v>90</v>
      </c>
      <c r="F450" s="218" t="s">
        <v>606</v>
      </c>
    </row>
    <row r="451" spans="1:6" x14ac:dyDescent="0.3">
      <c r="A451" s="285" t="str">
        <f t="shared" ca="1" si="7"/>
        <v>Liens vers les documents</v>
      </c>
      <c r="B451" s="284"/>
      <c r="C451" s="217" t="s">
        <v>1306</v>
      </c>
      <c r="D451" s="217" t="s">
        <v>1307</v>
      </c>
      <c r="E451" s="217" t="s">
        <v>1308</v>
      </c>
      <c r="F451" s="218" t="s">
        <v>1309</v>
      </c>
    </row>
    <row r="452" spans="1:6" x14ac:dyDescent="0.3">
      <c r="A452" s="285" t="str">
        <f t="shared" ca="1" si="7"/>
        <v>Décisions les plus importantes / Remarques</v>
      </c>
      <c r="B452" s="284"/>
      <c r="C452" s="217" t="s">
        <v>1310</v>
      </c>
      <c r="D452" s="217" t="s">
        <v>1311</v>
      </c>
      <c r="E452" s="217" t="s">
        <v>1312</v>
      </c>
      <c r="F452" s="218" t="s">
        <v>1313</v>
      </c>
    </row>
    <row r="453" spans="1:6" x14ac:dyDescent="0.3">
      <c r="A453" s="286" t="str">
        <f t="shared" ca="1" si="7"/>
        <v>Suivi des modifications</v>
      </c>
      <c r="B453" s="287"/>
      <c r="C453" s="288" t="s">
        <v>2263</v>
      </c>
      <c r="D453" s="289" t="s">
        <v>2264</v>
      </c>
      <c r="E453" s="289" t="s">
        <v>2265</v>
      </c>
      <c r="F453" s="290" t="s">
        <v>2266</v>
      </c>
    </row>
    <row r="454" spans="1:6" x14ac:dyDescent="0.3">
      <c r="A454" s="285" t="str">
        <f t="shared" ca="1" si="7"/>
        <v>Date</v>
      </c>
      <c r="B454" s="284"/>
      <c r="C454" s="217" t="s">
        <v>23</v>
      </c>
      <c r="D454" s="217" t="s">
        <v>90</v>
      </c>
      <c r="E454" s="217" t="s">
        <v>90</v>
      </c>
      <c r="F454" s="218" t="s">
        <v>606</v>
      </c>
    </row>
    <row r="455" spans="1:6" x14ac:dyDescent="0.3">
      <c r="A455" s="285" t="str">
        <f t="shared" ca="1" si="7"/>
        <v>Changement</v>
      </c>
      <c r="B455" s="284"/>
      <c r="C455" s="217" t="s">
        <v>2267</v>
      </c>
      <c r="D455" s="217" t="s">
        <v>2268</v>
      </c>
      <c r="E455" s="217" t="s">
        <v>798</v>
      </c>
      <c r="F455" s="218" t="s">
        <v>2269</v>
      </c>
    </row>
    <row r="456" spans="1:6" x14ac:dyDescent="0.3">
      <c r="A456" s="285" t="str">
        <f t="shared" ca="1" si="7"/>
        <v>Qui?</v>
      </c>
      <c r="B456" s="284"/>
      <c r="C456" s="244" t="s">
        <v>20</v>
      </c>
      <c r="D456" s="244" t="s">
        <v>88</v>
      </c>
      <c r="E456" s="244" t="s">
        <v>763</v>
      </c>
      <c r="F456" s="218" t="s">
        <v>597</v>
      </c>
    </row>
    <row r="457" spans="1:6" x14ac:dyDescent="0.3">
      <c r="A457" s="285">
        <f t="shared" ca="1" si="7"/>
        <v>0</v>
      </c>
      <c r="B457" s="301"/>
      <c r="C457" s="302"/>
      <c r="D457" s="302"/>
      <c r="E457" s="302"/>
      <c r="F457" s="218"/>
    </row>
    <row r="458" spans="1:6" x14ac:dyDescent="0.3">
      <c r="A458" s="303">
        <f t="shared" ca="1" si="7"/>
        <v>0</v>
      </c>
      <c r="B458" s="301"/>
      <c r="C458" s="302"/>
      <c r="D458" s="302"/>
      <c r="E458" s="302"/>
      <c r="F458" s="218"/>
    </row>
    <row r="459" spans="1:6" s="307" customFormat="1" ht="14.4" x14ac:dyDescent="0.3">
      <c r="A459" s="304" t="str">
        <f t="shared" ca="1" si="7"/>
        <v>P A R T I E S   P R E N A N T E S</v>
      </c>
      <c r="B459" s="305"/>
      <c r="C459" s="304" t="s">
        <v>1397</v>
      </c>
      <c r="D459" s="304" t="s">
        <v>1398</v>
      </c>
      <c r="E459" s="304" t="s">
        <v>1397</v>
      </c>
      <c r="F459" s="306" t="s">
        <v>1397</v>
      </c>
    </row>
    <row r="460" spans="1:6" s="312" customFormat="1" ht="14.4" x14ac:dyDescent="0.3">
      <c r="A460" s="308" t="str">
        <f t="shared" ca="1" si="7"/>
        <v>Contexte large</v>
      </c>
      <c r="B460" s="309"/>
      <c r="C460" s="310" t="s">
        <v>1325</v>
      </c>
      <c r="D460" s="310" t="s">
        <v>1326</v>
      </c>
      <c r="E460" s="310" t="s">
        <v>1327</v>
      </c>
      <c r="F460" s="311" t="s">
        <v>1328</v>
      </c>
    </row>
    <row r="461" spans="1:6" s="312" customFormat="1" ht="14.4" x14ac:dyDescent="0.3">
      <c r="A461" s="308" t="str">
        <f t="shared" ca="1" si="7"/>
        <v>Contexte restreint</v>
      </c>
      <c r="B461" s="309"/>
      <c r="C461" s="310" t="s">
        <v>1329</v>
      </c>
      <c r="D461" s="310" t="s">
        <v>1330</v>
      </c>
      <c r="E461" s="310" t="s">
        <v>1331</v>
      </c>
      <c r="F461" s="311" t="s">
        <v>1332</v>
      </c>
    </row>
    <row r="462" spans="1:6" s="312" customFormat="1" ht="14.4" x14ac:dyDescent="0.3">
      <c r="A462" s="308" t="str">
        <f t="shared" ca="1" si="7"/>
        <v>interne</v>
      </c>
      <c r="B462" s="309"/>
      <c r="C462" s="310" t="s">
        <v>1103</v>
      </c>
      <c r="D462" s="310" t="s">
        <v>1104</v>
      </c>
      <c r="E462" s="310" t="s">
        <v>1333</v>
      </c>
      <c r="F462" s="311" t="s">
        <v>1105</v>
      </c>
    </row>
    <row r="463" spans="1:6" s="312" customFormat="1" ht="14.4" x14ac:dyDescent="0.3">
      <c r="A463" s="308" t="str">
        <f t="shared" ca="1" si="7"/>
        <v>Nous</v>
      </c>
      <c r="B463" s="309"/>
      <c r="C463" s="264" t="s">
        <v>1334</v>
      </c>
      <c r="D463" s="264" t="s">
        <v>1335</v>
      </c>
      <c r="E463" s="264" t="s">
        <v>1336</v>
      </c>
      <c r="F463" s="265" t="s">
        <v>1337</v>
      </c>
    </row>
    <row r="464" spans="1:6" s="312" customFormat="1" ht="14.4" x14ac:dyDescent="0.3">
      <c r="A464" s="308" t="str">
        <f t="shared" ca="1" si="7"/>
        <v>contacts fréquents</v>
      </c>
      <c r="B464" s="309"/>
      <c r="C464" s="310" t="s">
        <v>1338</v>
      </c>
      <c r="D464" s="310" t="s">
        <v>1339</v>
      </c>
      <c r="E464" s="310" t="s">
        <v>1340</v>
      </c>
      <c r="F464" s="311" t="s">
        <v>1341</v>
      </c>
    </row>
    <row r="465" spans="1:6" s="312" customFormat="1" ht="14.4" x14ac:dyDescent="0.3">
      <c r="A465" s="308" t="str">
        <f t="shared" ca="1" si="7"/>
        <v>contacts réguliers</v>
      </c>
      <c r="B465" s="309"/>
      <c r="C465" s="310" t="s">
        <v>1342</v>
      </c>
      <c r="D465" s="310" t="s">
        <v>1343</v>
      </c>
      <c r="E465" s="310" t="s">
        <v>1344</v>
      </c>
      <c r="F465" s="311" t="s">
        <v>1345</v>
      </c>
    </row>
    <row r="466" spans="1:6" s="312" customFormat="1" ht="14.4" x14ac:dyDescent="0.3">
      <c r="A466" s="308" t="str">
        <f t="shared" ca="1" si="7"/>
        <v>contacts rares</v>
      </c>
      <c r="B466" s="309"/>
      <c r="C466" s="310" t="s">
        <v>1346</v>
      </c>
      <c r="D466" s="310" t="s">
        <v>1347</v>
      </c>
      <c r="E466" s="310" t="s">
        <v>1348</v>
      </c>
      <c r="F466" s="311" t="s">
        <v>1349</v>
      </c>
    </row>
    <row r="467" spans="1:6" s="312" customFormat="1" ht="14.4" x14ac:dyDescent="0.3">
      <c r="A467" s="308" t="str">
        <f t="shared" ca="1" si="7"/>
        <v>grande</v>
      </c>
      <c r="B467" s="309"/>
      <c r="C467" s="264" t="s">
        <v>386</v>
      </c>
      <c r="D467" s="264" t="s">
        <v>1350</v>
      </c>
      <c r="E467" s="264" t="s">
        <v>886</v>
      </c>
      <c r="F467" s="265" t="s">
        <v>1351</v>
      </c>
    </row>
    <row r="468" spans="1:6" s="312" customFormat="1" ht="14.4" x14ac:dyDescent="0.3">
      <c r="A468" s="308" t="str">
        <f t="shared" ca="1" si="7"/>
        <v>grand</v>
      </c>
      <c r="B468" s="309"/>
      <c r="C468" s="264" t="s">
        <v>1352</v>
      </c>
      <c r="D468" s="264" t="s">
        <v>1353</v>
      </c>
      <c r="E468" s="264" t="s">
        <v>1354</v>
      </c>
      <c r="F468" s="265" t="s">
        <v>1350</v>
      </c>
    </row>
    <row r="469" spans="1:6" s="312" customFormat="1" ht="14.4" x14ac:dyDescent="0.3">
      <c r="A469" s="308" t="str">
        <f t="shared" ca="1" si="7"/>
        <v>Influence des parties prenantes</v>
      </c>
      <c r="B469" s="309"/>
      <c r="C469" s="264" t="s">
        <v>1355</v>
      </c>
      <c r="D469" s="264" t="s">
        <v>1356</v>
      </c>
      <c r="E469" s="264" t="s">
        <v>1357</v>
      </c>
      <c r="F469" s="265" t="s">
        <v>1358</v>
      </c>
    </row>
    <row r="470" spans="1:6" s="312" customFormat="1" ht="14.4" x14ac:dyDescent="0.3">
      <c r="A470" s="308" t="str">
        <f t="shared" ca="1" si="7"/>
        <v>petite</v>
      </c>
      <c r="B470" s="309"/>
      <c r="C470" s="264" t="s">
        <v>390</v>
      </c>
      <c r="D470" s="264" t="s">
        <v>1359</v>
      </c>
      <c r="E470" s="264" t="s">
        <v>888</v>
      </c>
      <c r="F470" s="265" t="s">
        <v>1360</v>
      </c>
    </row>
    <row r="471" spans="1:6" s="312" customFormat="1" ht="14.4" x14ac:dyDescent="0.3">
      <c r="A471" s="308" t="str">
        <f t="shared" ca="1" si="7"/>
        <v>petit</v>
      </c>
      <c r="B471" s="309"/>
      <c r="C471" s="264" t="s">
        <v>1361</v>
      </c>
      <c r="D471" s="264" t="s">
        <v>1362</v>
      </c>
      <c r="E471" s="264" t="s">
        <v>1363</v>
      </c>
      <c r="F471" s="265" t="s">
        <v>1364</v>
      </c>
    </row>
    <row r="472" spans="1:6" s="312" customFormat="1" ht="14.4" x14ac:dyDescent="0.3">
      <c r="A472" s="308" t="str">
        <f t="shared" ca="1" si="7"/>
        <v>Intérêt des parties prenantes</v>
      </c>
      <c r="B472" s="309"/>
      <c r="C472" s="264" t="s">
        <v>1365</v>
      </c>
      <c r="D472" s="264" t="s">
        <v>1366</v>
      </c>
      <c r="E472" s="264" t="s">
        <v>1367</v>
      </c>
      <c r="F472" s="265" t="s">
        <v>1368</v>
      </c>
    </row>
    <row r="473" spans="1:6" s="312" customFormat="1" ht="14.4" x14ac:dyDescent="0.3">
      <c r="A473" s="308" t="str">
        <f t="shared" ca="1" si="7"/>
        <v>No.</v>
      </c>
      <c r="B473" s="309"/>
      <c r="C473" s="264" t="s">
        <v>400</v>
      </c>
      <c r="D473" s="264" t="s">
        <v>401</v>
      </c>
      <c r="E473" s="264" t="s">
        <v>401</v>
      </c>
      <c r="F473" s="265" t="s">
        <v>1369</v>
      </c>
    </row>
    <row r="474" spans="1:6" s="312" customFormat="1" ht="14.4" x14ac:dyDescent="0.3">
      <c r="A474" s="308" t="str">
        <f t="shared" ca="1" si="7"/>
        <v>Parties prenantes</v>
      </c>
      <c r="B474" s="309"/>
      <c r="C474" s="264" t="s">
        <v>1370</v>
      </c>
      <c r="D474" s="264" t="s">
        <v>1441</v>
      </c>
      <c r="E474" s="264" t="s">
        <v>1442</v>
      </c>
      <c r="F474" s="265" t="s">
        <v>1442</v>
      </c>
    </row>
    <row r="475" spans="1:6" s="312" customFormat="1" ht="14.4" x14ac:dyDescent="0.3">
      <c r="A475" s="308" t="str">
        <f t="shared" ca="1" si="7"/>
        <v>Intérêt, attentes</v>
      </c>
      <c r="B475" s="309"/>
      <c r="C475" s="264" t="s">
        <v>1371</v>
      </c>
      <c r="D475" s="264" t="s">
        <v>1372</v>
      </c>
      <c r="E475" s="264" t="s">
        <v>1373</v>
      </c>
      <c r="F475" s="265" t="s">
        <v>1374</v>
      </c>
    </row>
    <row r="476" spans="1:6" s="312" customFormat="1" ht="14.4" x14ac:dyDescent="0.3">
      <c r="A476" s="308" t="str">
        <f t="shared" ca="1" si="7"/>
        <v>Etendue de l'intérêt</v>
      </c>
      <c r="B476" s="309"/>
      <c r="C476" s="264" t="s">
        <v>1375</v>
      </c>
      <c r="D476" s="264" t="s">
        <v>1376</v>
      </c>
      <c r="E476" s="264" t="s">
        <v>1377</v>
      </c>
      <c r="F476" s="265" t="s">
        <v>1378</v>
      </c>
    </row>
    <row r="477" spans="1:6" s="312" customFormat="1" ht="14.4" x14ac:dyDescent="0.3">
      <c r="A477" s="308" t="str">
        <f t="shared" ca="1" si="7"/>
        <v>Etendue de l'influence</v>
      </c>
      <c r="B477" s="309"/>
      <c r="C477" s="264" t="s">
        <v>1379</v>
      </c>
      <c r="D477" s="264" t="s">
        <v>1380</v>
      </c>
      <c r="E477" s="264" t="s">
        <v>1381</v>
      </c>
      <c r="F477" s="265" t="s">
        <v>1382</v>
      </c>
    </row>
    <row r="478" spans="1:6" s="312" customFormat="1" ht="28.8" x14ac:dyDescent="0.3">
      <c r="A478" s="308" t="str">
        <f t="shared" ca="1" si="7"/>
        <v>Chances (+) et 
Dangers (-)</v>
      </c>
      <c r="B478" s="309"/>
      <c r="C478" s="264" t="s">
        <v>1383</v>
      </c>
      <c r="D478" s="264" t="s">
        <v>1384</v>
      </c>
      <c r="E478" s="264" t="s">
        <v>1385</v>
      </c>
      <c r="F478" s="265" t="s">
        <v>1386</v>
      </c>
    </row>
    <row r="479" spans="1:6" s="312" customFormat="1" ht="14.4" x14ac:dyDescent="0.3">
      <c r="A479" s="308" t="str">
        <f t="shared" ca="1" si="7"/>
        <v>Mesures possibles</v>
      </c>
      <c r="B479" s="309"/>
      <c r="C479" s="264" t="s">
        <v>411</v>
      </c>
      <c r="D479" s="264" t="s">
        <v>412</v>
      </c>
      <c r="E479" s="264" t="s">
        <v>895</v>
      </c>
      <c r="F479" s="265" t="s">
        <v>1387</v>
      </c>
    </row>
    <row r="480" spans="1:6" s="312" customFormat="1" ht="14.4" x14ac:dyDescent="0.3">
      <c r="A480" s="308" t="str">
        <f t="shared" ca="1" si="7"/>
        <v>Statut</v>
      </c>
      <c r="B480" s="309"/>
      <c r="C480" s="264" t="s">
        <v>413</v>
      </c>
      <c r="D480" s="264" t="s">
        <v>414</v>
      </c>
      <c r="E480" s="264" t="s">
        <v>413</v>
      </c>
      <c r="F480" s="265" t="s">
        <v>1388</v>
      </c>
    </row>
    <row r="481" spans="1:6" s="312" customFormat="1" ht="14.4" x14ac:dyDescent="0.3">
      <c r="A481" s="308" t="str">
        <f t="shared" ca="1" si="7"/>
        <v>Taille du groupe</v>
      </c>
      <c r="B481" s="309"/>
      <c r="C481" s="264" t="s">
        <v>1389</v>
      </c>
      <c r="D481" s="264" t="s">
        <v>1390</v>
      </c>
      <c r="E481" s="264" t="s">
        <v>1391</v>
      </c>
      <c r="F481" s="265" t="s">
        <v>1392</v>
      </c>
    </row>
    <row r="482" spans="1:6" s="312" customFormat="1" ht="28.8" x14ac:dyDescent="0.3">
      <c r="A482" s="308" t="str">
        <f t="shared" ca="1" si="7"/>
        <v>A N A L Y S E   D E S   P A R T I E S   P R E N A N T E S</v>
      </c>
      <c r="B482" s="309"/>
      <c r="C482" s="264" t="s">
        <v>1322</v>
      </c>
      <c r="D482" s="264" t="s">
        <v>1323</v>
      </c>
      <c r="E482" s="264" t="s">
        <v>1324</v>
      </c>
      <c r="F482" s="265" t="s">
        <v>1393</v>
      </c>
    </row>
    <row r="483" spans="1:6" s="312" customFormat="1" ht="14.4" x14ac:dyDescent="0.3">
      <c r="A483" s="308" t="str">
        <f t="shared" ca="1" si="7"/>
        <v>Maintenir satisfait</v>
      </c>
      <c r="B483" s="309"/>
      <c r="C483" s="264" t="s">
        <v>1421</v>
      </c>
      <c r="D483" s="264" t="s">
        <v>1422</v>
      </c>
      <c r="E483" s="264" t="s">
        <v>1423</v>
      </c>
      <c r="F483" s="265" t="s">
        <v>1424</v>
      </c>
    </row>
    <row r="484" spans="1:6" s="312" customFormat="1" ht="14.4" x14ac:dyDescent="0.3">
      <c r="A484" s="308" t="str">
        <f t="shared" ca="1" si="7"/>
        <v>Surveiller</v>
      </c>
      <c r="B484" s="309"/>
      <c r="C484" s="264" t="s">
        <v>1425</v>
      </c>
      <c r="D484" s="264" t="s">
        <v>1426</v>
      </c>
      <c r="E484" s="264" t="s">
        <v>1427</v>
      </c>
      <c r="F484" s="265" t="s">
        <v>1428</v>
      </c>
    </row>
    <row r="485" spans="1:6" s="312" customFormat="1" ht="14.4" x14ac:dyDescent="0.3">
      <c r="A485" s="308" t="str">
        <f t="shared" ca="1" si="7"/>
        <v>Tenir informé</v>
      </c>
      <c r="B485" s="309"/>
      <c r="C485" s="264" t="s">
        <v>1429</v>
      </c>
      <c r="D485" s="264" t="s">
        <v>1430</v>
      </c>
      <c r="E485" s="264" t="s">
        <v>1431</v>
      </c>
      <c r="F485" s="265" t="s">
        <v>1432</v>
      </c>
    </row>
    <row r="486" spans="1:6" s="312" customFormat="1" ht="14.4" x14ac:dyDescent="0.3">
      <c r="A486" s="308" t="str">
        <f t="shared" ca="1" si="7"/>
        <v>Suivre de près</v>
      </c>
      <c r="B486" s="309"/>
      <c r="C486" s="264" t="s">
        <v>1433</v>
      </c>
      <c r="D486" s="264" t="s">
        <v>1434</v>
      </c>
      <c r="E486" s="264" t="s">
        <v>1435</v>
      </c>
      <c r="F486" s="265" t="s">
        <v>1436</v>
      </c>
    </row>
    <row r="487" spans="1:6" s="312" customFormat="1" ht="28.8" x14ac:dyDescent="0.3">
      <c r="A487" s="308" t="str">
        <f t="shared" ca="1" si="7"/>
        <v>Copier flèche: ctrl et bouton gauche de la souris</v>
      </c>
      <c r="B487" s="309"/>
      <c r="C487" s="264" t="s">
        <v>1437</v>
      </c>
      <c r="D487" s="264" t="s">
        <v>1438</v>
      </c>
      <c r="E487" s="264" t="s">
        <v>1439</v>
      </c>
      <c r="F487" s="265" t="s">
        <v>1440</v>
      </c>
    </row>
    <row r="488" spans="1:6" s="312" customFormat="1" ht="14.4" x14ac:dyDescent="0.3">
      <c r="A488" s="304" t="str">
        <f t="shared" ref="A488:A556" ca="1" si="8">OFFSET($C488,0,$B$4-1)</f>
        <v>Liens</v>
      </c>
      <c r="B488" s="305"/>
      <c r="C488" s="304" t="s">
        <v>1399</v>
      </c>
      <c r="D488" s="304" t="s">
        <v>1400</v>
      </c>
      <c r="E488" s="304" t="s">
        <v>1399</v>
      </c>
      <c r="F488" s="306" t="s">
        <v>1399</v>
      </c>
    </row>
    <row r="489" spans="1:6" s="312" customFormat="1" ht="28.8" x14ac:dyDescent="0.3">
      <c r="A489" s="308" t="str">
        <f t="shared" ca="1" si="8"/>
        <v>Voulez-vous télécharger un nouveau fichier ?</v>
      </c>
      <c r="B489" s="309"/>
      <c r="C489" s="264" t="s">
        <v>1415</v>
      </c>
      <c r="D489" s="264" t="s">
        <v>1401</v>
      </c>
      <c r="E489" s="264" t="s">
        <v>1402</v>
      </c>
      <c r="F489" s="265" t="s">
        <v>1403</v>
      </c>
    </row>
    <row r="490" spans="1:6" s="312" customFormat="1" ht="28.8" x14ac:dyDescent="0.3">
      <c r="A490" s="308" t="str">
        <f t="shared" ca="1" si="8"/>
        <v>Assurez-vous, que vous avez une connexion internet!</v>
      </c>
      <c r="B490" s="309"/>
      <c r="C490" s="264" t="s">
        <v>1416</v>
      </c>
      <c r="D490" s="264" t="s">
        <v>1404</v>
      </c>
      <c r="E490" s="264" t="s">
        <v>1406</v>
      </c>
      <c r="F490" s="265" t="s">
        <v>1405</v>
      </c>
    </row>
    <row r="491" spans="1:6" s="312" customFormat="1" ht="14.4" x14ac:dyDescent="0.3">
      <c r="A491" s="308" t="str">
        <f t="shared" ca="1" si="8"/>
        <v>Remarque :</v>
      </c>
      <c r="B491" s="309"/>
      <c r="C491" s="264" t="s">
        <v>1407</v>
      </c>
      <c r="D491" s="264" t="s">
        <v>1409</v>
      </c>
      <c r="E491" s="264" t="s">
        <v>1410</v>
      </c>
      <c r="F491" s="265" t="s">
        <v>1411</v>
      </c>
    </row>
    <row r="492" spans="1:6" s="312" customFormat="1" ht="28.8" x14ac:dyDescent="0.3">
      <c r="A492" s="308" t="str">
        <f t="shared" ca="1" si="8"/>
        <v>Sur iMangement vous pouvez télécharger la dernière version.</v>
      </c>
      <c r="B492" s="309"/>
      <c r="C492" s="264" t="s">
        <v>1408</v>
      </c>
      <c r="D492" s="264" t="s">
        <v>1412</v>
      </c>
      <c r="E492" s="264" t="s">
        <v>1414</v>
      </c>
      <c r="F492" s="265" t="s">
        <v>1413</v>
      </c>
    </row>
    <row r="493" spans="1:6" s="312" customFormat="1" ht="14.4" x14ac:dyDescent="0.3">
      <c r="A493" s="308" t="str">
        <f t="shared" ca="1" si="8"/>
        <v>Devise:</v>
      </c>
      <c r="B493" s="309"/>
      <c r="C493" s="264" t="s">
        <v>1444</v>
      </c>
      <c r="D493" s="264" t="s">
        <v>1446</v>
      </c>
      <c r="E493" s="264" t="s">
        <v>1445</v>
      </c>
      <c r="F493" s="265" t="s">
        <v>1447</v>
      </c>
    </row>
    <row r="494" spans="1:6" s="312" customFormat="1" ht="14.4" x14ac:dyDescent="0.3">
      <c r="A494" s="308" t="str">
        <f t="shared" ca="1" si="8"/>
        <v>oui</v>
      </c>
      <c r="B494" s="309"/>
      <c r="C494" s="264" t="s">
        <v>168</v>
      </c>
      <c r="D494" s="264" t="s">
        <v>169</v>
      </c>
      <c r="E494" s="264" t="s">
        <v>1457</v>
      </c>
      <c r="F494" s="265" t="s">
        <v>1458</v>
      </c>
    </row>
    <row r="495" spans="1:6" s="312" customFormat="1" ht="14.4" x14ac:dyDescent="0.3">
      <c r="A495" s="308" t="str">
        <f t="shared" ca="1" si="8"/>
        <v>non</v>
      </c>
      <c r="B495" s="309"/>
      <c r="C495" s="264" t="s">
        <v>172</v>
      </c>
      <c r="D495" s="264" t="s">
        <v>173</v>
      </c>
      <c r="E495" s="264" t="s">
        <v>1456</v>
      </c>
      <c r="F495" s="265" t="s">
        <v>1456</v>
      </c>
    </row>
    <row r="496" spans="1:6" s="312" customFormat="1" ht="14.4" x14ac:dyDescent="0.3">
      <c r="A496" s="308" t="str">
        <f t="shared" ca="1" si="8"/>
        <v>vert</v>
      </c>
      <c r="B496" s="309"/>
      <c r="C496" s="264" t="s">
        <v>1739</v>
      </c>
      <c r="D496" s="264" t="s">
        <v>1744</v>
      </c>
      <c r="E496" s="264" t="s">
        <v>1745</v>
      </c>
      <c r="F496" s="265" t="s">
        <v>1747</v>
      </c>
    </row>
    <row r="497" spans="1:6" s="312" customFormat="1" ht="14.4" x14ac:dyDescent="0.3">
      <c r="A497" s="308" t="str">
        <f t="shared" ca="1" si="8"/>
        <v>orange</v>
      </c>
      <c r="B497" s="309"/>
      <c r="C497" s="264" t="s">
        <v>1741</v>
      </c>
      <c r="D497" s="264" t="s">
        <v>1741</v>
      </c>
      <c r="E497" s="264" t="s">
        <v>1741</v>
      </c>
      <c r="F497" s="265" t="s">
        <v>1748</v>
      </c>
    </row>
    <row r="498" spans="1:6" s="312" customFormat="1" ht="14.4" x14ac:dyDescent="0.3">
      <c r="A498" s="308" t="str">
        <f t="shared" ca="1" si="8"/>
        <v>rouge</v>
      </c>
      <c r="B498" s="309"/>
      <c r="C498" s="264" t="s">
        <v>1743</v>
      </c>
      <c r="D498" s="264" t="s">
        <v>1175</v>
      </c>
      <c r="E498" s="264" t="s">
        <v>1746</v>
      </c>
      <c r="F498" s="265" t="s">
        <v>1749</v>
      </c>
    </row>
    <row r="499" spans="1:6" s="312" customFormat="1" ht="14.4" x14ac:dyDescent="0.3">
      <c r="A499" s="308" t="str">
        <f t="shared" ca="1" si="8"/>
        <v>Question</v>
      </c>
      <c r="B499" s="313"/>
      <c r="C499" s="314" t="s">
        <v>2014</v>
      </c>
      <c r="D499" s="314" t="s">
        <v>2015</v>
      </c>
      <c r="E499" s="314" t="s">
        <v>2015</v>
      </c>
      <c r="F499" s="314" t="s">
        <v>2016</v>
      </c>
    </row>
    <row r="500" spans="1:6" s="312" customFormat="1" ht="14.4" x14ac:dyDescent="0.3">
      <c r="A500" s="315" t="str">
        <f t="shared" ca="1" si="8"/>
        <v>Réponse</v>
      </c>
      <c r="B500" s="313"/>
      <c r="C500" s="314" t="s">
        <v>2017</v>
      </c>
      <c r="D500" s="314" t="s">
        <v>2018</v>
      </c>
      <c r="E500" s="314" t="s">
        <v>2020</v>
      </c>
      <c r="F500" s="314" t="s">
        <v>2019</v>
      </c>
    </row>
    <row r="501" spans="1:6" s="319" customFormat="1" ht="22.8" x14ac:dyDescent="0.3">
      <c r="A501" s="316" t="str">
        <f t="shared" ca="1" si="8"/>
        <v>P R O M O T E U R S   D E   L' I N N O V A T I O N</v>
      </c>
      <c r="B501" s="317"/>
      <c r="C501" s="316" t="s">
        <v>1537</v>
      </c>
      <c r="D501" s="316" t="s">
        <v>1538</v>
      </c>
      <c r="E501" s="316" t="s">
        <v>1540</v>
      </c>
      <c r="F501" s="318" t="s">
        <v>1539</v>
      </c>
    </row>
    <row r="502" spans="1:6" s="319" customFormat="1" ht="14.4" x14ac:dyDescent="0.3">
      <c r="A502" s="320" t="str">
        <f t="shared" ca="1" si="8"/>
        <v>Promoteurs</v>
      </c>
      <c r="B502" s="321"/>
      <c r="C502" s="322" t="s">
        <v>1559</v>
      </c>
      <c r="D502" s="322" t="s">
        <v>1560</v>
      </c>
      <c r="E502" s="322" t="s">
        <v>1561</v>
      </c>
      <c r="F502" s="323" t="s">
        <v>1562</v>
      </c>
    </row>
    <row r="503" spans="1:6" s="319" customFormat="1" ht="14.4" x14ac:dyDescent="0.3">
      <c r="A503" s="324" t="str">
        <f t="shared" ca="1" si="8"/>
        <v>Critère</v>
      </c>
      <c r="B503" s="321"/>
      <c r="C503" s="325" t="s">
        <v>1527</v>
      </c>
      <c r="D503" s="325" t="s">
        <v>1528</v>
      </c>
      <c r="E503" s="325" t="s">
        <v>1529</v>
      </c>
      <c r="F503" s="326" t="s">
        <v>1530</v>
      </c>
    </row>
    <row r="504" spans="1:6" s="319" customFormat="1" ht="14.4" x14ac:dyDescent="0.3">
      <c r="A504" s="324" t="str">
        <f t="shared" ca="1" si="8"/>
        <v>Evaluation</v>
      </c>
      <c r="B504" s="321"/>
      <c r="C504" s="325" t="s">
        <v>1532</v>
      </c>
      <c r="D504" s="325" t="s">
        <v>1531</v>
      </c>
      <c r="E504" s="325" t="s">
        <v>1533</v>
      </c>
      <c r="F504" s="326" t="s">
        <v>1534</v>
      </c>
    </row>
    <row r="505" spans="1:6" s="319" customFormat="1" ht="14.4" x14ac:dyDescent="0.3">
      <c r="A505" s="324" t="str">
        <f t="shared" ca="1" si="8"/>
        <v>Total</v>
      </c>
      <c r="B505" s="321"/>
      <c r="C505" s="327" t="s">
        <v>1535</v>
      </c>
      <c r="D505" s="327" t="s">
        <v>1535</v>
      </c>
      <c r="E505" s="327" t="s">
        <v>1535</v>
      </c>
      <c r="F505" s="328" t="s">
        <v>1536</v>
      </c>
    </row>
    <row r="506" spans="1:6" s="319" customFormat="1" ht="14.4" x14ac:dyDescent="0.3">
      <c r="A506" s="324" t="str">
        <f t="shared" ca="1" si="8"/>
        <v>Promoteurs de pouvoir</v>
      </c>
      <c r="B506" s="321"/>
      <c r="C506" s="329" t="s">
        <v>1563</v>
      </c>
      <c r="D506" s="329" t="s">
        <v>1564</v>
      </c>
      <c r="E506" s="329" t="s">
        <v>1625</v>
      </c>
      <c r="F506" s="330" t="s">
        <v>1592</v>
      </c>
    </row>
    <row r="507" spans="1:6" s="319" customFormat="1" ht="14.4" x14ac:dyDescent="0.3">
      <c r="A507" s="324" t="str">
        <f t="shared" ca="1" si="8"/>
        <v>A une position hiérarchique élevée</v>
      </c>
      <c r="B507" s="321"/>
      <c r="C507" s="327" t="s">
        <v>1541</v>
      </c>
      <c r="D507" s="327" t="s">
        <v>1565</v>
      </c>
      <c r="E507" s="327" t="s">
        <v>1626</v>
      </c>
      <c r="F507" s="328" t="s">
        <v>1593</v>
      </c>
    </row>
    <row r="508" spans="1:6" s="319" customFormat="1" ht="28.8" x14ac:dyDescent="0.3">
      <c r="A508" s="324" t="str">
        <f t="shared" ca="1" si="8"/>
        <v>Est capable de persuader et d'enthousiasmer</v>
      </c>
      <c r="B508" s="321"/>
      <c r="C508" s="327" t="s">
        <v>1628</v>
      </c>
      <c r="D508" s="327" t="s">
        <v>1569</v>
      </c>
      <c r="E508" s="327" t="s">
        <v>1627</v>
      </c>
      <c r="F508" s="328" t="s">
        <v>1594</v>
      </c>
    </row>
    <row r="509" spans="1:6" s="319" customFormat="1" ht="14.4" x14ac:dyDescent="0.3">
      <c r="A509" s="324" t="str">
        <f t="shared" ca="1" si="8"/>
        <v>Peut fournir des ressources</v>
      </c>
      <c r="B509" s="321"/>
      <c r="C509" s="327" t="s">
        <v>1542</v>
      </c>
      <c r="D509" s="327" t="s">
        <v>1566</v>
      </c>
      <c r="E509" s="327" t="s">
        <v>1629</v>
      </c>
      <c r="F509" s="328" t="s">
        <v>1595</v>
      </c>
    </row>
    <row r="510" spans="1:6" s="319" customFormat="1" ht="28.8" x14ac:dyDescent="0.3">
      <c r="A510" s="324" t="str">
        <f t="shared" ca="1" si="8"/>
        <v>Peut protéger et soutenir les personnes qui sont ouvert à l'innovation</v>
      </c>
      <c r="B510" s="321"/>
      <c r="C510" s="327" t="s">
        <v>1544</v>
      </c>
      <c r="D510" s="327" t="s">
        <v>1567</v>
      </c>
      <c r="E510" s="327" t="s">
        <v>1630</v>
      </c>
      <c r="F510" s="328" t="s">
        <v>1596</v>
      </c>
    </row>
    <row r="511" spans="1:6" s="319" customFormat="1" ht="14.4" x14ac:dyDescent="0.3">
      <c r="A511" s="324" t="str">
        <f t="shared" ca="1" si="8"/>
        <v>Peut sanctionner les opposants</v>
      </c>
      <c r="B511" s="321"/>
      <c r="C511" s="327" t="s">
        <v>1543</v>
      </c>
      <c r="D511" s="327" t="s">
        <v>1568</v>
      </c>
      <c r="E511" s="327" t="s">
        <v>1631</v>
      </c>
      <c r="F511" s="328" t="s">
        <v>1597</v>
      </c>
    </row>
    <row r="512" spans="1:6" s="319" customFormat="1" ht="14.4" x14ac:dyDescent="0.3">
      <c r="A512" s="324" t="str">
        <f t="shared" ca="1" si="8"/>
        <v>Promoteurs expert</v>
      </c>
      <c r="B512" s="321"/>
      <c r="C512" s="329" t="s">
        <v>1545</v>
      </c>
      <c r="D512" s="329" t="s">
        <v>1577</v>
      </c>
      <c r="E512" s="329" t="s">
        <v>1632</v>
      </c>
      <c r="F512" s="330" t="s">
        <v>1598</v>
      </c>
    </row>
    <row r="513" spans="1:6" s="319" customFormat="1" ht="14.4" x14ac:dyDescent="0.3">
      <c r="A513" s="324" t="str">
        <f t="shared" ca="1" si="8"/>
        <v>A une haute compétence d'expert</v>
      </c>
      <c r="B513" s="321"/>
      <c r="C513" s="327" t="s">
        <v>1546</v>
      </c>
      <c r="D513" s="327" t="s">
        <v>1573</v>
      </c>
      <c r="E513" s="327" t="s">
        <v>1633</v>
      </c>
      <c r="F513" s="328" t="s">
        <v>1606</v>
      </c>
    </row>
    <row r="514" spans="1:6" s="319" customFormat="1" ht="28.8" x14ac:dyDescent="0.3">
      <c r="A514" s="324" t="str">
        <f t="shared" ca="1" si="8"/>
        <v>Évalue les problèmes nouveaux et complexes</v>
      </c>
      <c r="B514" s="321"/>
      <c r="C514" s="327" t="s">
        <v>1600</v>
      </c>
      <c r="D514" s="327" t="s">
        <v>1574</v>
      </c>
      <c r="E514" s="327" t="s">
        <v>1634</v>
      </c>
      <c r="F514" s="328" t="s">
        <v>1599</v>
      </c>
    </row>
    <row r="515" spans="1:6" s="319" customFormat="1" ht="28.8" x14ac:dyDescent="0.3">
      <c r="A515" s="324" t="str">
        <f t="shared" ca="1" si="8"/>
        <v>Développe des solutions pour surmonter les problèmes et les obstacles</v>
      </c>
      <c r="B515" s="321"/>
      <c r="C515" s="327" t="s">
        <v>1601</v>
      </c>
      <c r="D515" s="327" t="s">
        <v>1575</v>
      </c>
      <c r="E515" s="327" t="s">
        <v>1635</v>
      </c>
      <c r="F515" s="328" t="s">
        <v>1604</v>
      </c>
    </row>
    <row r="516" spans="1:6" s="319" customFormat="1" ht="28.8" x14ac:dyDescent="0.3">
      <c r="A516" s="324" t="str">
        <f t="shared" ca="1" si="8"/>
        <v>Conduit le processus d'innovation en transmettant son expertise</v>
      </c>
      <c r="B516" s="321"/>
      <c r="C516" s="327" t="s">
        <v>1602</v>
      </c>
      <c r="D516" s="327" t="s">
        <v>1576</v>
      </c>
      <c r="E516" s="327" t="s">
        <v>1636</v>
      </c>
      <c r="F516" s="328" t="s">
        <v>1605</v>
      </c>
    </row>
    <row r="517" spans="1:6" s="319" customFormat="1" ht="14.4" x14ac:dyDescent="0.3">
      <c r="A517" s="324" t="str">
        <f t="shared" ca="1" si="8"/>
        <v>Met en œuvre les mesures de solution</v>
      </c>
      <c r="B517" s="321"/>
      <c r="C517" s="327" t="s">
        <v>1603</v>
      </c>
      <c r="D517" s="327" t="s">
        <v>1581</v>
      </c>
      <c r="E517" s="327" t="s">
        <v>1637</v>
      </c>
      <c r="F517" s="328" t="s">
        <v>1607</v>
      </c>
    </row>
    <row r="518" spans="1:6" s="319" customFormat="1" ht="14.4" x14ac:dyDescent="0.3">
      <c r="A518" s="324" t="str">
        <f t="shared" ca="1" si="8"/>
        <v>Promoteurs de processus</v>
      </c>
      <c r="B518" s="321"/>
      <c r="C518" s="329" t="s">
        <v>1547</v>
      </c>
      <c r="D518" s="329" t="s">
        <v>1570</v>
      </c>
      <c r="E518" s="329" t="s">
        <v>1638</v>
      </c>
      <c r="F518" s="330" t="s">
        <v>1608</v>
      </c>
    </row>
    <row r="519" spans="1:6" s="319" customFormat="1" ht="28.8" x14ac:dyDescent="0.3">
      <c r="A519" s="324" t="str">
        <f t="shared" ca="1" si="8"/>
        <v>Connait très bien la structure organisationnelle</v>
      </c>
      <c r="B519" s="321"/>
      <c r="C519" s="327" t="s">
        <v>1549</v>
      </c>
      <c r="D519" s="327" t="s">
        <v>1582</v>
      </c>
      <c r="E519" s="327" t="s">
        <v>1639</v>
      </c>
      <c r="F519" s="328" t="s">
        <v>1609</v>
      </c>
    </row>
    <row r="520" spans="1:6" s="319" customFormat="1" ht="43.2" x14ac:dyDescent="0.3">
      <c r="A520" s="324" t="str">
        <f t="shared" ca="1" si="8"/>
        <v xml:space="preserve">Établit des contacts et des liens entre le promoteur de pouvoir et le promoteur expert </v>
      </c>
      <c r="B520" s="321"/>
      <c r="C520" s="327" t="s">
        <v>1550</v>
      </c>
      <c r="D520" s="327" t="s">
        <v>1578</v>
      </c>
      <c r="E520" s="327" t="s">
        <v>1640</v>
      </c>
      <c r="F520" s="328" t="s">
        <v>1610</v>
      </c>
    </row>
    <row r="521" spans="1:6" s="319" customFormat="1" ht="28.8" x14ac:dyDescent="0.3">
      <c r="A521" s="324" t="str">
        <f t="shared" ca="1" si="8"/>
        <v>Recueille et filtre les informations sur l'organisation</v>
      </c>
      <c r="B521" s="321"/>
      <c r="C521" s="327" t="s">
        <v>1551</v>
      </c>
      <c r="D521" s="327" t="s">
        <v>1579</v>
      </c>
      <c r="E521" s="327" t="s">
        <v>1641</v>
      </c>
      <c r="F521" s="328" t="s">
        <v>1611</v>
      </c>
    </row>
    <row r="522" spans="1:6" s="319" customFormat="1" ht="28.8" x14ac:dyDescent="0.3">
      <c r="A522" s="324" t="str">
        <f t="shared" ca="1" si="8"/>
        <v>Traduit et interprète les informations pour un usage interne</v>
      </c>
      <c r="B522" s="321"/>
      <c r="C522" s="327" t="s">
        <v>1553</v>
      </c>
      <c r="D522" s="327" t="s">
        <v>1612</v>
      </c>
      <c r="E522" s="327" t="s">
        <v>1642</v>
      </c>
      <c r="F522" s="328" t="s">
        <v>1613</v>
      </c>
    </row>
    <row r="523" spans="1:6" s="319" customFormat="1" ht="28.8" x14ac:dyDescent="0.3">
      <c r="A523" s="324" t="str">
        <f t="shared" ca="1" si="8"/>
        <v>Appuie indirectement le processus de changement</v>
      </c>
      <c r="B523" s="321"/>
      <c r="C523" s="327" t="s">
        <v>1552</v>
      </c>
      <c r="D523" s="327" t="s">
        <v>1580</v>
      </c>
      <c r="E523" s="327" t="s">
        <v>1643</v>
      </c>
      <c r="F523" s="328" t="s">
        <v>1614</v>
      </c>
    </row>
    <row r="524" spans="1:6" s="319" customFormat="1" ht="14.4" x14ac:dyDescent="0.3">
      <c r="A524" s="324" t="str">
        <f t="shared" ca="1" si="8"/>
        <v>Promoteurs de relation</v>
      </c>
      <c r="B524" s="321"/>
      <c r="C524" s="329" t="s">
        <v>1548</v>
      </c>
      <c r="D524" s="329" t="s">
        <v>1571</v>
      </c>
      <c r="E524" s="329" t="s">
        <v>1644</v>
      </c>
      <c r="F524" s="330" t="s">
        <v>1615</v>
      </c>
    </row>
    <row r="525" spans="1:6" s="319" customFormat="1" ht="28.8" x14ac:dyDescent="0.3">
      <c r="A525" s="324" t="str">
        <f t="shared" ca="1" si="8"/>
        <v>Dispose d'un vaste réseau de contacts personnels</v>
      </c>
      <c r="B525" s="321"/>
      <c r="C525" s="327" t="s">
        <v>1554</v>
      </c>
      <c r="D525" s="327" t="s">
        <v>1583</v>
      </c>
      <c r="E525" s="327" t="s">
        <v>1645</v>
      </c>
      <c r="F525" s="328" t="s">
        <v>1616</v>
      </c>
    </row>
    <row r="526" spans="1:6" s="319" customFormat="1" ht="28.8" x14ac:dyDescent="0.3">
      <c r="A526" s="324" t="str">
        <f t="shared" ca="1" si="8"/>
        <v>Entretien de bonnes et amicales relations dans l'organisation</v>
      </c>
      <c r="B526" s="321"/>
      <c r="C526" s="327" t="s">
        <v>1555</v>
      </c>
      <c r="D526" s="327" t="s">
        <v>1589</v>
      </c>
      <c r="E526" s="327" t="s">
        <v>1646</v>
      </c>
      <c r="F526" s="328" t="s">
        <v>1617</v>
      </c>
    </row>
    <row r="527" spans="1:6" s="319" customFormat="1" ht="28.8" x14ac:dyDescent="0.3">
      <c r="A527" s="324" t="str">
        <f t="shared" ca="1" si="8"/>
        <v>Est accepté et respecté à travers tous les niveaux hiérarchiques</v>
      </c>
      <c r="B527" s="321"/>
      <c r="C527" s="327" t="s">
        <v>1584</v>
      </c>
      <c r="D527" s="327" t="s">
        <v>1585</v>
      </c>
      <c r="E527" s="327" t="s">
        <v>1647</v>
      </c>
      <c r="F527" s="328" t="s">
        <v>1618</v>
      </c>
    </row>
    <row r="528" spans="1:6" s="319" customFormat="1" ht="28.8" x14ac:dyDescent="0.3">
      <c r="A528" s="324" t="str">
        <f t="shared" ca="1" si="8"/>
        <v>Noue des nouveaux réseaux internes et externes</v>
      </c>
      <c r="B528" s="321"/>
      <c r="C528" s="327" t="s">
        <v>1556</v>
      </c>
      <c r="D528" s="327" t="s">
        <v>1619</v>
      </c>
      <c r="E528" s="327" t="s">
        <v>1648</v>
      </c>
      <c r="F528" s="328" t="s">
        <v>1620</v>
      </c>
    </row>
    <row r="529" spans="1:6" s="319" customFormat="1" ht="28.8" x14ac:dyDescent="0.3">
      <c r="A529" s="324" t="str">
        <f t="shared" ca="1" si="8"/>
        <v>Négocie entre les différents acteurs</v>
      </c>
      <c r="B529" s="321"/>
      <c r="C529" s="327" t="s">
        <v>1557</v>
      </c>
      <c r="D529" s="327" t="s">
        <v>1586</v>
      </c>
      <c r="E529" s="327" t="s">
        <v>1649</v>
      </c>
      <c r="F529" s="328" t="s">
        <v>1621</v>
      </c>
    </row>
    <row r="530" spans="1:6" s="319" customFormat="1" ht="14.4" x14ac:dyDescent="0.3">
      <c r="A530" s="324" t="str">
        <f t="shared" ca="1" si="8"/>
        <v>Opposants</v>
      </c>
      <c r="B530" s="321"/>
      <c r="C530" s="329" t="s">
        <v>1558</v>
      </c>
      <c r="D530" s="329" t="s">
        <v>1572</v>
      </c>
      <c r="E530" s="329" t="s">
        <v>1650</v>
      </c>
      <c r="F530" s="330" t="s">
        <v>1622</v>
      </c>
    </row>
    <row r="531" spans="1:6" s="319" customFormat="1" ht="28.8" x14ac:dyDescent="0.3">
      <c r="A531" s="324" t="str">
        <f t="shared" ca="1" si="8"/>
        <v>Est contre toutes nouveautés dans l'entreprise</v>
      </c>
      <c r="B531" s="321"/>
      <c r="C531" s="327" t="s">
        <v>1587</v>
      </c>
      <c r="D531" s="327" t="s">
        <v>1588</v>
      </c>
      <c r="E531" s="327" t="s">
        <v>1651</v>
      </c>
      <c r="F531" s="328" t="s">
        <v>1623</v>
      </c>
    </row>
    <row r="532" spans="1:6" s="319" customFormat="1" ht="28.8" x14ac:dyDescent="0.3">
      <c r="A532" s="324" t="str">
        <f t="shared" ca="1" si="8"/>
        <v>Peut empêcher ou retarder le processus d'innovation</v>
      </c>
      <c r="B532" s="321"/>
      <c r="C532" s="327" t="s">
        <v>1590</v>
      </c>
      <c r="D532" s="327" t="s">
        <v>1591</v>
      </c>
      <c r="E532" s="327" t="s">
        <v>1652</v>
      </c>
      <c r="F532" s="328" t="s">
        <v>1624</v>
      </c>
    </row>
    <row r="533" spans="1:6" s="319" customFormat="1" ht="14.4" x14ac:dyDescent="0.3">
      <c r="A533" s="304" t="str">
        <f t="shared" ca="1" si="8"/>
        <v>I N D I C A T E U R S</v>
      </c>
      <c r="B533" s="321"/>
      <c r="C533" s="304" t="s">
        <v>1669</v>
      </c>
      <c r="D533" s="304" t="s">
        <v>1670</v>
      </c>
      <c r="E533" s="304" t="s">
        <v>1671</v>
      </c>
      <c r="F533" s="306" t="s">
        <v>1672</v>
      </c>
    </row>
    <row r="534" spans="1:6" s="319" customFormat="1" ht="14.4" x14ac:dyDescent="0.3">
      <c r="A534" s="324" t="str">
        <f t="shared" ca="1" si="8"/>
        <v>Calcul</v>
      </c>
      <c r="B534" s="321"/>
      <c r="C534" s="331" t="s">
        <v>1658</v>
      </c>
      <c r="D534" s="332" t="s">
        <v>1659</v>
      </c>
      <c r="E534" s="332" t="s">
        <v>1660</v>
      </c>
      <c r="F534" s="333" t="s">
        <v>1661</v>
      </c>
    </row>
    <row r="535" spans="1:6" s="319" customFormat="1" ht="14.4" x14ac:dyDescent="0.3">
      <c r="A535" s="324" t="str">
        <f t="shared" ca="1" si="8"/>
        <v>Description/Remarques</v>
      </c>
      <c r="B535" s="321"/>
      <c r="C535" s="331" t="s">
        <v>1662</v>
      </c>
      <c r="D535" s="332" t="s">
        <v>1663</v>
      </c>
      <c r="E535" s="332" t="s">
        <v>1664</v>
      </c>
      <c r="F535" s="333" t="s">
        <v>1665</v>
      </c>
    </row>
    <row r="536" spans="1:6" s="319" customFormat="1" ht="14.4" x14ac:dyDescent="0.3">
      <c r="A536" s="324" t="str">
        <f t="shared" ca="1" si="8"/>
        <v>Source</v>
      </c>
      <c r="B536" s="321"/>
      <c r="C536" s="331" t="s">
        <v>1666</v>
      </c>
      <c r="D536" s="332" t="s">
        <v>1667</v>
      </c>
      <c r="E536" s="332" t="s">
        <v>1667</v>
      </c>
      <c r="F536" s="333" t="s">
        <v>1668</v>
      </c>
    </row>
    <row r="537" spans="1:6" s="319" customFormat="1" ht="14.4" x14ac:dyDescent="0.3">
      <c r="A537" s="324" t="str">
        <f t="shared" ca="1" si="8"/>
        <v>Moment de l'enquête</v>
      </c>
      <c r="B537" s="321"/>
      <c r="C537" s="334" t="s">
        <v>1679</v>
      </c>
      <c r="D537" s="334" t="s">
        <v>1680</v>
      </c>
      <c r="E537" s="334" t="s">
        <v>1681</v>
      </c>
      <c r="F537" s="335" t="s">
        <v>1682</v>
      </c>
    </row>
    <row r="538" spans="1:6" s="319" customFormat="1" ht="14.4" x14ac:dyDescent="0.3">
      <c r="A538" s="304" t="str">
        <f t="shared" ca="1" si="8"/>
        <v>Matrice des responsabilités</v>
      </c>
      <c r="B538" s="321"/>
      <c r="C538" s="304" t="s">
        <v>1708</v>
      </c>
      <c r="D538" s="304" t="s">
        <v>1709</v>
      </c>
      <c r="E538" s="304" t="s">
        <v>1710</v>
      </c>
      <c r="F538" s="306" t="s">
        <v>1711</v>
      </c>
    </row>
    <row r="539" spans="1:6" s="319" customFormat="1" ht="14.4" x14ac:dyDescent="0.3">
      <c r="A539" s="324" t="str">
        <f t="shared" ca="1" si="8"/>
        <v>Responsabilité globale</v>
      </c>
      <c r="B539" s="321"/>
      <c r="C539" s="332" t="s">
        <v>1712</v>
      </c>
      <c r="D539" s="332" t="s">
        <v>1713</v>
      </c>
      <c r="E539" s="332" t="s">
        <v>1714</v>
      </c>
      <c r="F539" s="333" t="s">
        <v>1715</v>
      </c>
    </row>
    <row r="540" spans="1:6" s="319" customFormat="1" ht="14.4" x14ac:dyDescent="0.3">
      <c r="A540" s="324" t="str">
        <f t="shared" ca="1" si="8"/>
        <v>Décision</v>
      </c>
      <c r="B540" s="321"/>
      <c r="C540" s="332" t="s">
        <v>1716</v>
      </c>
      <c r="D540" s="332" t="s">
        <v>1717</v>
      </c>
      <c r="E540" s="332" t="s">
        <v>1718</v>
      </c>
      <c r="F540" s="333" t="s">
        <v>1719</v>
      </c>
    </row>
    <row r="541" spans="1:6" s="319" customFormat="1" ht="14.4" x14ac:dyDescent="0.3">
      <c r="A541" s="324" t="str">
        <f t="shared" ca="1" si="8"/>
        <v>Coopération</v>
      </c>
      <c r="B541" s="321"/>
      <c r="C541" s="332" t="s">
        <v>1720</v>
      </c>
      <c r="D541" s="332" t="s">
        <v>1721</v>
      </c>
      <c r="E541" s="332" t="s">
        <v>1722</v>
      </c>
      <c r="F541" s="333" t="s">
        <v>1723</v>
      </c>
    </row>
    <row r="542" spans="1:6" s="319" customFormat="1" ht="14.4" x14ac:dyDescent="0.3">
      <c r="A542" s="324" t="str">
        <f t="shared" ca="1" si="8"/>
        <v>Information</v>
      </c>
      <c r="B542" s="321"/>
      <c r="C542" s="334" t="s">
        <v>1724</v>
      </c>
      <c r="D542" s="334" t="s">
        <v>1724</v>
      </c>
      <c r="E542" s="334" t="s">
        <v>1724</v>
      </c>
      <c r="F542" s="335" t="s">
        <v>1725</v>
      </c>
    </row>
    <row r="543" spans="1:6" x14ac:dyDescent="0.3">
      <c r="A543" s="285" t="str">
        <f t="shared" ca="1" si="8"/>
        <v>R</v>
      </c>
      <c r="B543" s="284"/>
      <c r="C543" s="217" t="s">
        <v>1726</v>
      </c>
      <c r="D543" s="217" t="s">
        <v>1727</v>
      </c>
      <c r="E543" s="217" t="s">
        <v>1728</v>
      </c>
      <c r="F543" s="218" t="s">
        <v>1727</v>
      </c>
    </row>
    <row r="544" spans="1:6" x14ac:dyDescent="0.3">
      <c r="A544" s="285" t="str">
        <f t="shared" ca="1" si="8"/>
        <v>D</v>
      </c>
      <c r="B544" s="284"/>
      <c r="C544" s="217" t="s">
        <v>1729</v>
      </c>
      <c r="D544" s="217" t="s">
        <v>1730</v>
      </c>
      <c r="E544" s="217" t="s">
        <v>1730</v>
      </c>
      <c r="F544" s="218" t="s">
        <v>1730</v>
      </c>
    </row>
    <row r="545" spans="1:6" x14ac:dyDescent="0.3">
      <c r="A545" s="285" t="str">
        <f t="shared" ca="1" si="8"/>
        <v>C</v>
      </c>
      <c r="B545" s="284"/>
      <c r="C545" s="217" t="s">
        <v>1731</v>
      </c>
      <c r="D545" s="217" t="s">
        <v>1732</v>
      </c>
      <c r="E545" s="217" t="s">
        <v>1732</v>
      </c>
      <c r="F545" s="218" t="s">
        <v>1732</v>
      </c>
    </row>
    <row r="546" spans="1:6" x14ac:dyDescent="0.3">
      <c r="A546" s="285" t="str">
        <f t="shared" ca="1" si="8"/>
        <v>I</v>
      </c>
      <c r="B546" s="284"/>
      <c r="C546" s="217" t="s">
        <v>1733</v>
      </c>
      <c r="D546" s="217" t="s">
        <v>1733</v>
      </c>
      <c r="E546" s="217" t="s">
        <v>1733</v>
      </c>
      <c r="F546" s="218" t="s">
        <v>1733</v>
      </c>
    </row>
    <row r="547" spans="1:6" x14ac:dyDescent="0.3">
      <c r="A547" s="285" t="str">
        <f t="shared" ca="1" si="8"/>
        <v>Domaine</v>
      </c>
      <c r="B547" s="284"/>
      <c r="C547" s="217" t="s">
        <v>1734</v>
      </c>
      <c r="D547" s="217" t="s">
        <v>1735</v>
      </c>
      <c r="E547" s="217" t="s">
        <v>1736</v>
      </c>
      <c r="F547" s="218" t="s">
        <v>1737</v>
      </c>
    </row>
    <row r="548" spans="1:6" s="319" customFormat="1" ht="14.4" x14ac:dyDescent="0.3">
      <c r="A548" s="304" t="str">
        <f t="shared" ca="1" si="8"/>
        <v>Méthode 5-P</v>
      </c>
      <c r="B548" s="321"/>
      <c r="C548" s="304" t="s">
        <v>1763</v>
      </c>
      <c r="D548" s="304" t="s">
        <v>1764</v>
      </c>
      <c r="E548" s="304" t="s">
        <v>1765</v>
      </c>
      <c r="F548" s="306" t="s">
        <v>1766</v>
      </c>
    </row>
    <row r="549" spans="1:6" x14ac:dyDescent="0.3">
      <c r="A549" s="285" t="str">
        <f t="shared" ca="1" si="8"/>
        <v>Pourquoi ?</v>
      </c>
      <c r="B549" s="284"/>
      <c r="C549" s="217" t="s">
        <v>1768</v>
      </c>
      <c r="D549" s="217" t="s">
        <v>1767</v>
      </c>
      <c r="E549" s="217" t="s">
        <v>1769</v>
      </c>
      <c r="F549" s="218" t="s">
        <v>1770</v>
      </c>
    </row>
    <row r="550" spans="1:6" x14ac:dyDescent="0.3">
      <c r="A550" s="285" t="str">
        <f t="shared" ca="1" si="8"/>
        <v>Problème</v>
      </c>
      <c r="B550" s="284"/>
      <c r="C550" s="217" t="s">
        <v>955</v>
      </c>
      <c r="D550" s="217" t="s">
        <v>1771</v>
      </c>
      <c r="E550" s="217" t="s">
        <v>955</v>
      </c>
      <c r="F550" s="218" t="s">
        <v>1772</v>
      </c>
    </row>
    <row r="551" spans="1:6" x14ac:dyDescent="0.3">
      <c r="A551" s="285" t="str">
        <f t="shared" ca="1" si="8"/>
        <v>Organigramme</v>
      </c>
      <c r="B551" s="284"/>
      <c r="C551" s="244" t="s">
        <v>1857</v>
      </c>
      <c r="D551" s="244" t="s">
        <v>1858</v>
      </c>
      <c r="E551" s="244" t="s">
        <v>1859</v>
      </c>
      <c r="F551" s="218" t="s">
        <v>1860</v>
      </c>
    </row>
    <row r="552" spans="1:6" x14ac:dyDescent="0.3">
      <c r="A552" s="285" t="str">
        <f t="shared" ca="1" si="8"/>
        <v>Avancement</v>
      </c>
      <c r="B552" s="284"/>
      <c r="C552" s="217" t="s">
        <v>1834</v>
      </c>
      <c r="D552" s="217" t="s">
        <v>1835</v>
      </c>
      <c r="E552" s="217" t="s">
        <v>1836</v>
      </c>
      <c r="F552" s="218" t="s">
        <v>1837</v>
      </c>
    </row>
    <row r="553" spans="1:6" s="319" customFormat="1" ht="14.4" x14ac:dyDescent="0.3">
      <c r="A553" s="304" t="str">
        <f t="shared" ca="1" si="8"/>
        <v>Feuille de route</v>
      </c>
      <c r="B553" s="321"/>
      <c r="C553" s="304" t="s">
        <v>2166</v>
      </c>
      <c r="D553" s="304" t="s">
        <v>2167</v>
      </c>
      <c r="E553" s="304" t="s">
        <v>2166</v>
      </c>
      <c r="F553" s="306" t="s">
        <v>2168</v>
      </c>
    </row>
    <row r="554" spans="1:6" x14ac:dyDescent="0.3">
      <c r="A554" s="285" t="str">
        <f t="shared" ca="1" si="8"/>
        <v>Étapes</v>
      </c>
      <c r="B554" s="284"/>
      <c r="C554" s="217" t="s">
        <v>1843</v>
      </c>
      <c r="D554" s="217" t="s">
        <v>1842</v>
      </c>
      <c r="E554" s="217" t="s">
        <v>1844</v>
      </c>
      <c r="F554" s="218" t="s">
        <v>1845</v>
      </c>
    </row>
    <row r="555" spans="1:6" x14ac:dyDescent="0.3">
      <c r="A555" s="285" t="str">
        <f t="shared" ca="1" si="8"/>
        <v>Objectifs</v>
      </c>
      <c r="B555" s="284"/>
      <c r="C555" s="217" t="s">
        <v>1804</v>
      </c>
      <c r="D555" s="217" t="s">
        <v>1805</v>
      </c>
      <c r="E555" s="217" t="s">
        <v>1806</v>
      </c>
      <c r="F555" s="218" t="s">
        <v>1846</v>
      </c>
    </row>
    <row r="556" spans="1:6" x14ac:dyDescent="0.3">
      <c r="A556" s="285" t="str">
        <f t="shared" ca="1" si="8"/>
        <v>Activités</v>
      </c>
      <c r="B556" s="284"/>
      <c r="C556" s="217" t="s">
        <v>1847</v>
      </c>
      <c r="D556" s="217" t="s">
        <v>1848</v>
      </c>
      <c r="E556" s="217" t="s">
        <v>1849</v>
      </c>
      <c r="F556" s="218" t="s">
        <v>1850</v>
      </c>
    </row>
    <row r="557" spans="1:6" x14ac:dyDescent="0.3">
      <c r="A557" s="285" t="str">
        <f t="shared" ref="A557:A662" ca="1" si="9">OFFSET($C557,0,$B$4-1)</f>
        <v xml:space="preserve">Livrables </v>
      </c>
      <c r="B557" s="284"/>
      <c r="C557" s="244" t="s">
        <v>1852</v>
      </c>
      <c r="D557" s="244" t="s">
        <v>1851</v>
      </c>
      <c r="E557" s="244" t="s">
        <v>1753</v>
      </c>
      <c r="F557" s="218" t="s">
        <v>1753</v>
      </c>
    </row>
    <row r="558" spans="1:6" x14ac:dyDescent="0.3">
      <c r="A558" s="285" t="str">
        <f t="shared" ca="1" si="9"/>
        <v>Échéance</v>
      </c>
      <c r="B558" s="284"/>
      <c r="C558" s="217" t="s">
        <v>1855</v>
      </c>
      <c r="D558" s="217" t="s">
        <v>1853</v>
      </c>
      <c r="E558" s="217" t="s">
        <v>1854</v>
      </c>
      <c r="F558" s="218" t="s">
        <v>1856</v>
      </c>
    </row>
    <row r="559" spans="1:6" s="319" customFormat="1" ht="14.4" x14ac:dyDescent="0.3">
      <c r="A559" s="304" t="str">
        <f t="shared" ca="1" si="9"/>
        <v>Développement durable</v>
      </c>
      <c r="B559" s="321"/>
      <c r="C559" s="304" t="s">
        <v>1875</v>
      </c>
      <c r="D559" s="304" t="s">
        <v>1884</v>
      </c>
      <c r="E559" s="304" t="s">
        <v>1930</v>
      </c>
      <c r="F559" s="306" t="s">
        <v>1997</v>
      </c>
    </row>
    <row r="560" spans="1:6" x14ac:dyDescent="0.3">
      <c r="A560" s="285" t="str">
        <f t="shared" ca="1" si="9"/>
        <v>Comment évaluer :</v>
      </c>
      <c r="B560" s="284"/>
      <c r="C560" s="244" t="s">
        <v>1885</v>
      </c>
      <c r="D560" s="244" t="s">
        <v>1874</v>
      </c>
      <c r="E560" s="244" t="s">
        <v>1931</v>
      </c>
      <c r="F560" s="218" t="s">
        <v>1946</v>
      </c>
    </row>
    <row r="561" spans="1:6" x14ac:dyDescent="0.3">
      <c r="A561" s="285" t="str">
        <f t="shared" ca="1" si="9"/>
        <v>Justification de l'évaluation :</v>
      </c>
      <c r="B561" s="284"/>
      <c r="C561" s="244" t="s">
        <v>1886</v>
      </c>
      <c r="D561" s="244" t="s">
        <v>1868</v>
      </c>
      <c r="E561" s="244" t="s">
        <v>1932</v>
      </c>
      <c r="F561" s="218" t="s">
        <v>1947</v>
      </c>
    </row>
    <row r="562" spans="1:6" x14ac:dyDescent="0.3">
      <c r="A562" s="285" t="str">
        <f t="shared" ca="1" si="9"/>
        <v>Risques de répercussions négatives :</v>
      </c>
      <c r="B562" s="284"/>
      <c r="C562" s="244" t="s">
        <v>1887</v>
      </c>
      <c r="D562" s="244" t="s">
        <v>1869</v>
      </c>
      <c r="E562" s="244" t="s">
        <v>1933</v>
      </c>
      <c r="F562" s="218" t="s">
        <v>1948</v>
      </c>
    </row>
    <row r="563" spans="1:6" x14ac:dyDescent="0.3">
      <c r="A563" s="285" t="str">
        <f t="shared" ca="1" si="9"/>
        <v>Potentiel d'amélioration :</v>
      </c>
      <c r="B563" s="284"/>
      <c r="C563" s="244" t="s">
        <v>1888</v>
      </c>
      <c r="D563" s="244" t="s">
        <v>1870</v>
      </c>
      <c r="E563" s="244" t="s">
        <v>1934</v>
      </c>
      <c r="F563" s="218" t="s">
        <v>1949</v>
      </c>
    </row>
    <row r="564" spans="1:6" x14ac:dyDescent="0.3">
      <c r="A564" s="285" t="str">
        <f t="shared" ca="1" si="9"/>
        <v>très favorable</v>
      </c>
      <c r="B564" s="301"/>
      <c r="C564" s="302" t="s">
        <v>1890</v>
      </c>
      <c r="D564" s="302" t="s">
        <v>1871</v>
      </c>
      <c r="E564" s="302" t="s">
        <v>1935</v>
      </c>
      <c r="F564" s="218" t="s">
        <v>1987</v>
      </c>
    </row>
    <row r="565" spans="1:6" x14ac:dyDescent="0.3">
      <c r="A565" s="285" t="str">
        <f t="shared" ca="1" si="9"/>
        <v>très défavorable</v>
      </c>
      <c r="B565" s="301"/>
      <c r="C565" s="302" t="s">
        <v>1891</v>
      </c>
      <c r="D565" s="302" t="s">
        <v>1872</v>
      </c>
      <c r="E565" s="302" t="s">
        <v>1936</v>
      </c>
      <c r="F565" s="218" t="s">
        <v>1988</v>
      </c>
    </row>
    <row r="566" spans="1:6" x14ac:dyDescent="0.3">
      <c r="A566" s="285" t="str">
        <f t="shared" ca="1" si="9"/>
        <v>pas concerné</v>
      </c>
      <c r="B566" s="301"/>
      <c r="C566" s="302" t="s">
        <v>1892</v>
      </c>
      <c r="D566" s="302" t="s">
        <v>1873</v>
      </c>
      <c r="E566" s="302" t="s">
        <v>1937</v>
      </c>
      <c r="F566" s="218" t="s">
        <v>1998</v>
      </c>
    </row>
    <row r="567" spans="1:6" x14ac:dyDescent="0.3">
      <c r="A567" s="285" t="str">
        <f t="shared" ca="1" si="9"/>
        <v>pas d'impact</v>
      </c>
      <c r="B567" s="301"/>
      <c r="C567" s="302" t="s">
        <v>2205</v>
      </c>
      <c r="D567" s="302" t="s">
        <v>2203</v>
      </c>
      <c r="E567" s="302" t="s">
        <v>2204</v>
      </c>
      <c r="F567" s="218" t="s">
        <v>2206</v>
      </c>
    </row>
    <row r="568" spans="1:6" x14ac:dyDescent="0.3">
      <c r="A568" s="285" t="str">
        <f t="shared" ca="1" si="9"/>
        <v>Informations complémentaires :</v>
      </c>
      <c r="B568" s="301"/>
      <c r="C568" s="302" t="s">
        <v>1889</v>
      </c>
      <c r="D568" s="302" t="s">
        <v>1867</v>
      </c>
      <c r="E568" s="302" t="s">
        <v>1938</v>
      </c>
      <c r="F568" s="218" t="s">
        <v>1989</v>
      </c>
    </row>
    <row r="569" spans="1:6" x14ac:dyDescent="0.3">
      <c r="A569" s="285" t="str">
        <f t="shared" ca="1" si="9"/>
        <v>Détails</v>
      </c>
      <c r="B569" s="301"/>
      <c r="C569" s="302" t="s">
        <v>2002</v>
      </c>
      <c r="D569" s="302" t="s">
        <v>2004</v>
      </c>
      <c r="E569" s="302" t="s">
        <v>2002</v>
      </c>
      <c r="F569" s="218" t="s">
        <v>2003</v>
      </c>
    </row>
    <row r="570" spans="1:6" x14ac:dyDescent="0.3">
      <c r="A570" s="285" t="str">
        <f t="shared" ca="1" si="9"/>
        <v>Economie</v>
      </c>
      <c r="B570" s="301"/>
      <c r="C570" s="302" t="s">
        <v>1880</v>
      </c>
      <c r="D570" s="302" t="s">
        <v>1876</v>
      </c>
      <c r="E570" s="302" t="s">
        <v>1939</v>
      </c>
      <c r="F570" s="218" t="s">
        <v>1990</v>
      </c>
    </row>
    <row r="571" spans="1:6" x14ac:dyDescent="0.3">
      <c r="A571" s="285" t="str">
        <f t="shared" ca="1" si="9"/>
        <v>Environnement</v>
      </c>
      <c r="B571" s="301"/>
      <c r="C571" s="302" t="s">
        <v>1881</v>
      </c>
      <c r="D571" s="302" t="s">
        <v>1877</v>
      </c>
      <c r="E571" s="302" t="s">
        <v>1940</v>
      </c>
      <c r="F571" s="218" t="s">
        <v>1991</v>
      </c>
    </row>
    <row r="572" spans="1:6" x14ac:dyDescent="0.3">
      <c r="A572" s="285" t="str">
        <f t="shared" ca="1" si="9"/>
        <v>Société</v>
      </c>
      <c r="B572" s="301"/>
      <c r="C572" s="302" t="s">
        <v>1882</v>
      </c>
      <c r="D572" s="302" t="s">
        <v>1878</v>
      </c>
      <c r="E572" s="302" t="s">
        <v>1941</v>
      </c>
      <c r="F572" s="218" t="s">
        <v>1994</v>
      </c>
    </row>
    <row r="573" spans="1:6" x14ac:dyDescent="0.3">
      <c r="A573" s="285" t="str">
        <f t="shared" ca="1" si="9"/>
        <v>Résultats</v>
      </c>
      <c r="B573" s="301"/>
      <c r="C573" s="302" t="s">
        <v>1883</v>
      </c>
      <c r="D573" s="302" t="s">
        <v>1879</v>
      </c>
      <c r="E573" s="302" t="s">
        <v>1942</v>
      </c>
      <c r="F573" s="218" t="s">
        <v>1992</v>
      </c>
    </row>
    <row r="574" spans="1:6" x14ac:dyDescent="0.3">
      <c r="A574" s="285" t="str">
        <f t="shared" ca="1" si="9"/>
        <v>suite</v>
      </c>
      <c r="B574" s="301"/>
      <c r="C574" s="302" t="s">
        <v>1894</v>
      </c>
      <c r="D574" s="302" t="s">
        <v>1896</v>
      </c>
      <c r="E574" s="278" t="s">
        <v>2185</v>
      </c>
      <c r="F574" s="218" t="s">
        <v>1995</v>
      </c>
    </row>
    <row r="575" spans="1:6" x14ac:dyDescent="0.3">
      <c r="A575" s="285" t="str">
        <f t="shared" ca="1" si="9"/>
        <v>retour</v>
      </c>
      <c r="B575" s="301"/>
      <c r="C575" s="302" t="s">
        <v>1895</v>
      </c>
      <c r="D575" s="302" t="s">
        <v>1897</v>
      </c>
      <c r="E575" s="302" t="s">
        <v>1943</v>
      </c>
      <c r="F575" s="218" t="s">
        <v>1993</v>
      </c>
    </row>
    <row r="576" spans="1:6" x14ac:dyDescent="0.3">
      <c r="A576" s="285" t="str">
        <f t="shared" ref="A576:A579" ca="1" si="10">OFFSET($C576,0,$B$4-1)</f>
        <v>Entreprise :</v>
      </c>
      <c r="B576" s="301"/>
      <c r="C576" s="244" t="s">
        <v>2006</v>
      </c>
      <c r="D576" s="244" t="s">
        <v>2007</v>
      </c>
      <c r="E576" s="244" t="s">
        <v>2008</v>
      </c>
      <c r="F576" s="218" t="s">
        <v>2009</v>
      </c>
    </row>
    <row r="577" spans="1:6" x14ac:dyDescent="0.3">
      <c r="A577" s="285" t="str">
        <f t="shared" ca="1" si="10"/>
        <v>Nom :</v>
      </c>
      <c r="B577" s="301"/>
      <c r="C577" s="244" t="s">
        <v>2010</v>
      </c>
      <c r="D577" s="244" t="s">
        <v>2011</v>
      </c>
      <c r="E577" s="244" t="s">
        <v>2010</v>
      </c>
      <c r="F577" s="218" t="s">
        <v>2012</v>
      </c>
    </row>
    <row r="578" spans="1:6" x14ac:dyDescent="0.3">
      <c r="A578" s="285" t="str">
        <f t="shared" ca="1" si="10"/>
        <v>modifié le :</v>
      </c>
      <c r="B578" s="301"/>
      <c r="C578" s="244" t="s">
        <v>5</v>
      </c>
      <c r="D578" s="244" t="s">
        <v>187</v>
      </c>
      <c r="E578" s="244" t="s">
        <v>749</v>
      </c>
      <c r="F578" s="218" t="s">
        <v>583</v>
      </c>
    </row>
    <row r="579" spans="1:6" ht="14.4" x14ac:dyDescent="0.3">
      <c r="A579" s="285" t="str">
        <f t="shared" ca="1" si="10"/>
        <v>Développement durable : résultats</v>
      </c>
      <c r="B579" s="301"/>
      <c r="C579" s="244" t="s">
        <v>2005</v>
      </c>
      <c r="D579" s="244" t="s">
        <v>1911</v>
      </c>
      <c r="E579" s="336" t="s">
        <v>2186</v>
      </c>
      <c r="F579" s="218" t="s">
        <v>1996</v>
      </c>
    </row>
    <row r="580" spans="1:6" x14ac:dyDescent="0.3">
      <c r="A580" s="285" t="str">
        <f t="shared" ref="A580:A601" ca="1" si="11">OFFSET($C580,0,$B$4-1)</f>
        <v>Points</v>
      </c>
      <c r="B580" s="301"/>
      <c r="C580" s="302" t="s">
        <v>1900</v>
      </c>
      <c r="D580" s="302" t="s">
        <v>2000</v>
      </c>
      <c r="E580" s="302" t="s">
        <v>2000</v>
      </c>
      <c r="F580" s="218" t="s">
        <v>2001</v>
      </c>
    </row>
    <row r="581" spans="1:6" x14ac:dyDescent="0.3">
      <c r="A581" s="285" t="str">
        <f t="shared" ca="1" si="11"/>
        <v>supprimer</v>
      </c>
      <c r="B581" s="301"/>
      <c r="C581" s="302" t="s">
        <v>2277</v>
      </c>
      <c r="D581" s="302" t="s">
        <v>2279</v>
      </c>
      <c r="E581" s="302" t="s">
        <v>2278</v>
      </c>
      <c r="F581" s="218" t="s">
        <v>2280</v>
      </c>
    </row>
    <row r="582" spans="1:6" ht="27.6" x14ac:dyDescent="0.3">
      <c r="A582" s="285" t="str">
        <f t="shared" ca="1" si="11"/>
        <v>PAS
DE PAUVRETE</v>
      </c>
      <c r="B582" s="301"/>
      <c r="C582" s="302" t="s">
        <v>2026</v>
      </c>
      <c r="D582" s="302" t="s">
        <v>2060</v>
      </c>
      <c r="E582" s="302" t="s">
        <v>2058</v>
      </c>
      <c r="F582" s="218" t="s">
        <v>2083</v>
      </c>
    </row>
    <row r="583" spans="1:6" ht="27.6" x14ac:dyDescent="0.3">
      <c r="A583" s="285" t="str">
        <f t="shared" ca="1" si="11"/>
        <v>FAIM
"ZERO"</v>
      </c>
      <c r="B583" s="301"/>
      <c r="C583" s="302" t="s">
        <v>2027</v>
      </c>
      <c r="D583" s="302" t="s">
        <v>2061</v>
      </c>
      <c r="E583" s="302" t="s">
        <v>2059</v>
      </c>
      <c r="F583" s="218" t="s">
        <v>2084</v>
      </c>
    </row>
    <row r="584" spans="1:6" ht="27.6" x14ac:dyDescent="0.3">
      <c r="A584" s="285" t="str">
        <f t="shared" ca="1" si="11"/>
        <v>BONNE SANTE
ET BIEN-ÊTRE</v>
      </c>
      <c r="B584" s="301"/>
      <c r="C584" s="302" t="s">
        <v>2028</v>
      </c>
      <c r="D584" s="302" t="s">
        <v>2062</v>
      </c>
      <c r="E584" s="302" t="s">
        <v>2043</v>
      </c>
      <c r="F584" s="218" t="s">
        <v>2077</v>
      </c>
    </row>
    <row r="585" spans="1:6" ht="27.6" x14ac:dyDescent="0.3">
      <c r="A585" s="285" t="str">
        <f t="shared" ca="1" si="11"/>
        <v>EDUCATION DE QUALITE</v>
      </c>
      <c r="B585" s="301"/>
      <c r="C585" s="302" t="s">
        <v>2029</v>
      </c>
      <c r="D585" s="302" t="s">
        <v>2063</v>
      </c>
      <c r="E585" s="302" t="s">
        <v>2044</v>
      </c>
      <c r="F585" s="218" t="s">
        <v>2085</v>
      </c>
    </row>
    <row r="586" spans="1:6" ht="27.6" x14ac:dyDescent="0.3">
      <c r="A586" s="285" t="str">
        <f t="shared" ca="1" si="11"/>
        <v>EGALITE ENTRE LES SEXES</v>
      </c>
      <c r="B586" s="301"/>
      <c r="C586" s="302" t="s">
        <v>2030</v>
      </c>
      <c r="D586" s="302" t="s">
        <v>2064</v>
      </c>
      <c r="E586" s="302" t="s">
        <v>2045</v>
      </c>
      <c r="F586" s="218" t="s">
        <v>2086</v>
      </c>
    </row>
    <row r="587" spans="1:6" ht="41.4" x14ac:dyDescent="0.3">
      <c r="A587" s="285" t="str">
        <f t="shared" ca="1" si="11"/>
        <v>EAU PROPRE ET ASSAINISSEMENT</v>
      </c>
      <c r="B587" s="301"/>
      <c r="C587" s="302" t="s">
        <v>2040</v>
      </c>
      <c r="D587" s="302" t="s">
        <v>2065</v>
      </c>
      <c r="E587" s="302" t="s">
        <v>2046</v>
      </c>
      <c r="F587" s="218" t="s">
        <v>2078</v>
      </c>
    </row>
    <row r="588" spans="1:6" ht="27.6" x14ac:dyDescent="0.3">
      <c r="A588" s="285" t="str">
        <f t="shared" ca="1" si="11"/>
        <v>ENERGIE PROPRE ET ABORDABLE</v>
      </c>
      <c r="B588" s="301"/>
      <c r="C588" s="302" t="s">
        <v>2031</v>
      </c>
      <c r="D588" s="302" t="s">
        <v>2066</v>
      </c>
      <c r="E588" s="302" t="s">
        <v>2047</v>
      </c>
      <c r="F588" s="218" t="s">
        <v>2079</v>
      </c>
    </row>
    <row r="589" spans="1:6" ht="55.2" x14ac:dyDescent="0.3">
      <c r="A589" s="285" t="str">
        <f t="shared" ca="1" si="11"/>
        <v>TRAVAIL DECENT ET CROISSANCE ECONOMIQUE</v>
      </c>
      <c r="B589" s="301"/>
      <c r="C589" s="302" t="s">
        <v>2032</v>
      </c>
      <c r="D589" s="302" t="s">
        <v>2067</v>
      </c>
      <c r="E589" s="302" t="s">
        <v>2048</v>
      </c>
      <c r="F589" s="218" t="s">
        <v>2080</v>
      </c>
    </row>
    <row r="590" spans="1:6" x14ac:dyDescent="0.3">
      <c r="A590" s="285" t="str">
        <f t="shared" ca="1" si="11"/>
        <v>INDUSTRIE, INNOVATION ET INFRASTRUCTURE</v>
      </c>
      <c r="B590" s="301"/>
      <c r="C590" s="302" t="s">
        <v>2041</v>
      </c>
      <c r="D590" s="302" t="s">
        <v>2068</v>
      </c>
      <c r="E590" s="302" t="s">
        <v>2049</v>
      </c>
      <c r="F590" s="218" t="s">
        <v>2087</v>
      </c>
    </row>
    <row r="591" spans="1:6" ht="27.6" x14ac:dyDescent="0.3">
      <c r="A591" s="285" t="str">
        <f t="shared" ca="1" si="11"/>
        <v>INEGALITE REDUITES</v>
      </c>
      <c r="B591" s="301"/>
      <c r="C591" s="302" t="s">
        <v>2033</v>
      </c>
      <c r="D591" s="302" t="s">
        <v>2069</v>
      </c>
      <c r="E591" s="302" t="s">
        <v>2050</v>
      </c>
      <c r="F591" s="218" t="s">
        <v>2088</v>
      </c>
    </row>
    <row r="592" spans="1:6" ht="27.6" x14ac:dyDescent="0.3">
      <c r="A592" s="285" t="str">
        <f t="shared" ca="1" si="11"/>
        <v>VILLES ET COMMUNAUTES DURABLES</v>
      </c>
      <c r="B592" s="301"/>
      <c r="C592" s="302" t="s">
        <v>2034</v>
      </c>
      <c r="D592" s="302" t="s">
        <v>2070</v>
      </c>
      <c r="E592" s="302" t="s">
        <v>2051</v>
      </c>
      <c r="F592" s="218" t="s">
        <v>2081</v>
      </c>
    </row>
    <row r="593" spans="1:6" ht="41.4" x14ac:dyDescent="0.3">
      <c r="A593" s="285" t="str">
        <f t="shared" ca="1" si="11"/>
        <v>CONSOMMATION ET PRODUCTION RESPONSABLES</v>
      </c>
      <c r="B593" s="301"/>
      <c r="C593" s="302" t="s">
        <v>2035</v>
      </c>
      <c r="D593" s="302" t="s">
        <v>2071</v>
      </c>
      <c r="E593" s="302" t="s">
        <v>2052</v>
      </c>
      <c r="F593" s="218" t="s">
        <v>2082</v>
      </c>
    </row>
    <row r="594" spans="1:6" ht="27.6" x14ac:dyDescent="0.3">
      <c r="A594" s="285" t="str">
        <f t="shared" ca="1" si="11"/>
        <v>LUTTE CONTRE LES CHANGEMENTS CLIMATIQUES</v>
      </c>
      <c r="B594" s="301"/>
      <c r="C594" s="302" t="s">
        <v>2036</v>
      </c>
      <c r="D594" s="249" t="s">
        <v>2072</v>
      </c>
      <c r="E594" s="302" t="s">
        <v>2053</v>
      </c>
      <c r="F594" s="218" t="s">
        <v>2089</v>
      </c>
    </row>
    <row r="595" spans="1:6" ht="27.6" x14ac:dyDescent="0.3">
      <c r="A595" s="285" t="str">
        <f t="shared" ca="1" si="11"/>
        <v>VIE AQUATIQUE</v>
      </c>
      <c r="B595" s="301"/>
      <c r="C595" s="302" t="s">
        <v>2037</v>
      </c>
      <c r="D595" s="302" t="s">
        <v>2073</v>
      </c>
      <c r="E595" s="302" t="s">
        <v>2054</v>
      </c>
      <c r="F595" s="218" t="s">
        <v>2090</v>
      </c>
    </row>
    <row r="596" spans="1:6" ht="27.6" x14ac:dyDescent="0.3">
      <c r="A596" s="285" t="str">
        <f t="shared" ca="1" si="11"/>
        <v>VIE TERRESTRE</v>
      </c>
      <c r="B596" s="301"/>
      <c r="C596" s="302" t="s">
        <v>2038</v>
      </c>
      <c r="D596" s="302" t="s">
        <v>2074</v>
      </c>
      <c r="E596" s="302" t="s">
        <v>2055</v>
      </c>
      <c r="F596" s="218" t="s">
        <v>2091</v>
      </c>
    </row>
    <row r="597" spans="1:6" ht="27.6" x14ac:dyDescent="0.3">
      <c r="A597" s="285" t="str">
        <f ca="1">OFFSET($C597,0,$B$4-1)</f>
        <v>PAIX, JUSTICE ET INSTITUTIONS EFFICACES</v>
      </c>
      <c r="B597" s="301"/>
      <c r="C597" s="302" t="s">
        <v>2042</v>
      </c>
      <c r="D597" s="302" t="s">
        <v>2075</v>
      </c>
      <c r="E597" s="302" t="s">
        <v>2056</v>
      </c>
      <c r="F597" s="218" t="s">
        <v>2092</v>
      </c>
    </row>
    <row r="598" spans="1:6" ht="41.4" x14ac:dyDescent="0.3">
      <c r="A598" s="285" t="str">
        <f t="shared" ca="1" si="11"/>
        <v>PARTENARIAT POUR LA REALISATION DES OBJECTIFS</v>
      </c>
      <c r="B598" s="301"/>
      <c r="C598" s="302" t="s">
        <v>2039</v>
      </c>
      <c r="D598" s="302" t="s">
        <v>2076</v>
      </c>
      <c r="E598" s="302" t="s">
        <v>2057</v>
      </c>
      <c r="F598" s="218" t="s">
        <v>2093</v>
      </c>
    </row>
    <row r="599" spans="1:6" ht="27.6" x14ac:dyDescent="0.3">
      <c r="A599" s="285" t="str">
        <f t="shared" ca="1" si="11"/>
        <v>Modifier les questions relatives au développement durable</v>
      </c>
      <c r="B599" s="301"/>
      <c r="C599" s="302" t="s">
        <v>2207</v>
      </c>
      <c r="D599" s="302" t="s">
        <v>2210</v>
      </c>
      <c r="E599" s="302" t="s">
        <v>2209</v>
      </c>
      <c r="F599" s="218" t="s">
        <v>2208</v>
      </c>
    </row>
    <row r="600" spans="1:6" ht="27.6" x14ac:dyDescent="0.3">
      <c r="A600" s="285" t="e">
        <f t="shared" ca="1" si="11"/>
        <v>#REF!</v>
      </c>
      <c r="B600" s="301"/>
      <c r="C600" s="337" t="e">
        <f>#REF!</f>
        <v>#REF!</v>
      </c>
      <c r="D600" s="337" t="e">
        <f>#REF!</f>
        <v>#REF!</v>
      </c>
      <c r="E600" s="337" t="e">
        <f>#REF!</f>
        <v>#REF!</v>
      </c>
      <c r="F600" s="337" t="e">
        <f>#REF!</f>
        <v>#REF!</v>
      </c>
    </row>
    <row r="601" spans="1:6" ht="207" x14ac:dyDescent="0.3">
      <c r="A601" s="303" t="e">
        <f t="shared" ca="1" si="11"/>
        <v>#REF!</v>
      </c>
      <c r="B601" s="301"/>
      <c r="C601" s="337" t="e">
        <f>#REF!</f>
        <v>#REF!</v>
      </c>
      <c r="D601" s="337" t="e">
        <f>#REF!</f>
        <v>#REF!</v>
      </c>
      <c r="E601" s="337" t="e">
        <f>#REF!</f>
        <v>#REF!</v>
      </c>
      <c r="F601" s="337" t="e">
        <f>#REF!</f>
        <v>#REF!</v>
      </c>
    </row>
    <row r="602" spans="1:6" x14ac:dyDescent="0.3">
      <c r="A602" s="338" t="str">
        <f t="shared" ca="1" si="9"/>
        <v>1. Economie</v>
      </c>
      <c r="B602" s="284"/>
      <c r="C602" s="244" t="s">
        <v>1893</v>
      </c>
      <c r="D602" s="244" t="s">
        <v>1862</v>
      </c>
      <c r="E602" s="244" t="s">
        <v>1945</v>
      </c>
      <c r="F602" s="218" t="s">
        <v>1944</v>
      </c>
    </row>
    <row r="603" spans="1:6" x14ac:dyDescent="0.3">
      <c r="A603" s="339" t="e">
        <f t="shared" ca="1" si="9"/>
        <v>#REF!</v>
      </c>
      <c r="B603" s="284"/>
      <c r="C603" s="340" t="e">
        <f>#REF!</f>
        <v>#REF!</v>
      </c>
      <c r="D603" s="340" t="e">
        <f>#REF!</f>
        <v>#REF!</v>
      </c>
      <c r="E603" s="340" t="e">
        <f>#REF!</f>
        <v>#REF!</v>
      </c>
      <c r="F603" s="340" t="e">
        <f>#REF!</f>
        <v>#REF!</v>
      </c>
    </row>
    <row r="604" spans="1:6" ht="69" x14ac:dyDescent="0.3">
      <c r="A604" s="285" t="e">
        <f t="shared" ref="A604" ca="1" si="12">OFFSET($C604,0,$B$4-1)</f>
        <v>#REF!</v>
      </c>
      <c r="B604" s="284"/>
      <c r="C604" s="340" t="e">
        <f>#REF!</f>
        <v>#REF!</v>
      </c>
      <c r="D604" s="340" t="e">
        <f>#REF!</f>
        <v>#REF!</v>
      </c>
      <c r="E604" s="340" t="e">
        <f>#REF!</f>
        <v>#REF!</v>
      </c>
      <c r="F604" s="340" t="e">
        <f>#REF!</f>
        <v>#REF!</v>
      </c>
    </row>
    <row r="605" spans="1:6" x14ac:dyDescent="0.3">
      <c r="A605" s="339" t="e">
        <f t="shared" ca="1" si="9"/>
        <v>#REF!</v>
      </c>
      <c r="B605" s="284"/>
      <c r="C605" s="340" t="e">
        <f>#REF!</f>
        <v>#REF!</v>
      </c>
      <c r="D605" s="340" t="e">
        <f>#REF!</f>
        <v>#REF!</v>
      </c>
      <c r="E605" s="340" t="e">
        <f>#REF!</f>
        <v>#REF!</v>
      </c>
      <c r="F605" s="340" t="e">
        <f>#REF!</f>
        <v>#REF!</v>
      </c>
    </row>
    <row r="606" spans="1:6" ht="69" x14ac:dyDescent="0.3">
      <c r="A606" s="285" t="e">
        <f t="shared" ref="A606" ca="1" si="13">OFFSET($C606,0,$B$4-1)</f>
        <v>#REF!</v>
      </c>
      <c r="B606" s="284"/>
      <c r="C606" s="169" t="e">
        <f>#REF!</f>
        <v>#REF!</v>
      </c>
      <c r="D606" s="169" t="e">
        <f>#REF!</f>
        <v>#REF!</v>
      </c>
      <c r="E606" s="169" t="e">
        <f>#REF!</f>
        <v>#REF!</v>
      </c>
      <c r="F606" s="169" t="e">
        <f>#REF!</f>
        <v>#REF!</v>
      </c>
    </row>
    <row r="607" spans="1:6" x14ac:dyDescent="0.3">
      <c r="A607" s="341" t="e">
        <f t="shared" ca="1" si="9"/>
        <v>#REF!</v>
      </c>
      <c r="B607" s="284"/>
      <c r="C607" s="342" t="e">
        <f>#REF!</f>
        <v>#REF!</v>
      </c>
      <c r="D607" s="342" t="e">
        <f>#REF!</f>
        <v>#REF!</v>
      </c>
      <c r="E607" s="342" t="e">
        <f>#REF!</f>
        <v>#REF!</v>
      </c>
      <c r="F607" s="342" t="e">
        <f>#REF!</f>
        <v>#REF!</v>
      </c>
    </row>
    <row r="608" spans="1:6" ht="55.2" x14ac:dyDescent="0.3">
      <c r="A608" s="285" t="e">
        <f t="shared" ca="1" si="9"/>
        <v>#REF!</v>
      </c>
      <c r="B608" s="301"/>
      <c r="C608" s="170" t="e">
        <f>#REF!</f>
        <v>#REF!</v>
      </c>
      <c r="D608" s="170" t="e">
        <f>#REF!</f>
        <v>#REF!</v>
      </c>
      <c r="E608" s="170" t="e">
        <f>#REF!</f>
        <v>#REF!</v>
      </c>
      <c r="F608" s="170" t="e">
        <f>#REF!</f>
        <v>#REF!</v>
      </c>
    </row>
    <row r="609" spans="1:6" x14ac:dyDescent="0.3">
      <c r="A609" s="339" t="e">
        <f t="shared" ca="1" si="9"/>
        <v>#REF!</v>
      </c>
      <c r="B609" s="284"/>
      <c r="C609" s="170" t="e">
        <f>#REF!</f>
        <v>#REF!</v>
      </c>
      <c r="D609" s="170" t="e">
        <f>#REF!</f>
        <v>#REF!</v>
      </c>
      <c r="E609" s="170" t="e">
        <f>#REF!</f>
        <v>#REF!</v>
      </c>
      <c r="F609" s="170" t="e">
        <f>#REF!</f>
        <v>#REF!</v>
      </c>
    </row>
    <row r="610" spans="1:6" ht="41.4" x14ac:dyDescent="0.3">
      <c r="A610" s="285" t="e">
        <f t="shared" ca="1" si="9"/>
        <v>#REF!</v>
      </c>
      <c r="B610" s="301"/>
      <c r="C610" s="170" t="e">
        <f>#REF!</f>
        <v>#REF!</v>
      </c>
      <c r="D610" s="170" t="e">
        <f>#REF!</f>
        <v>#REF!</v>
      </c>
      <c r="E610" s="170" t="e">
        <f>#REF!</f>
        <v>#REF!</v>
      </c>
      <c r="F610" s="170" t="e">
        <f>#REF!</f>
        <v>#REF!</v>
      </c>
    </row>
    <row r="611" spans="1:6" x14ac:dyDescent="0.3">
      <c r="A611" s="339" t="e">
        <f t="shared" ca="1" si="9"/>
        <v>#REF!</v>
      </c>
      <c r="B611" s="284"/>
      <c r="C611" s="170" t="e">
        <f>#REF!</f>
        <v>#REF!</v>
      </c>
      <c r="D611" s="170" t="e">
        <f>#REF!</f>
        <v>#REF!</v>
      </c>
      <c r="E611" s="170" t="e">
        <f>#REF!</f>
        <v>#REF!</v>
      </c>
      <c r="F611" s="170" t="e">
        <f>#REF!</f>
        <v>#REF!</v>
      </c>
    </row>
    <row r="612" spans="1:6" ht="27.75" customHeight="1" x14ac:dyDescent="0.3">
      <c r="A612" s="285" t="e">
        <f t="shared" ca="1" si="9"/>
        <v>#REF!</v>
      </c>
      <c r="B612" s="301"/>
      <c r="C612" s="170" t="e">
        <f>#REF!</f>
        <v>#REF!</v>
      </c>
      <c r="D612" s="170" t="e">
        <f>#REF!</f>
        <v>#REF!</v>
      </c>
      <c r="E612" s="170" t="e">
        <f>#REF!</f>
        <v>#REF!</v>
      </c>
      <c r="F612" s="170" t="e">
        <f>#REF!</f>
        <v>#REF!</v>
      </c>
    </row>
    <row r="613" spans="1:6" ht="27.75" customHeight="1" x14ac:dyDescent="0.3">
      <c r="A613" s="343" t="e">
        <f t="shared" ca="1" si="9"/>
        <v>#REF!</v>
      </c>
      <c r="B613" s="301"/>
      <c r="C613" s="170" t="e">
        <f>#REF!</f>
        <v>#REF!</v>
      </c>
      <c r="D613" s="170" t="e">
        <f>#REF!</f>
        <v>#REF!</v>
      </c>
      <c r="E613" s="170" t="e">
        <f>#REF!</f>
        <v>#REF!</v>
      </c>
      <c r="F613" s="170" t="e">
        <f>#REF!</f>
        <v>#REF!</v>
      </c>
    </row>
    <row r="614" spans="1:6" ht="55.2" x14ac:dyDescent="0.3">
      <c r="A614" s="303" t="e">
        <f t="shared" ca="1" si="9"/>
        <v>#REF!</v>
      </c>
      <c r="B614" s="301"/>
      <c r="C614" s="170" t="e">
        <f>#REF!</f>
        <v>#REF!</v>
      </c>
      <c r="D614" s="170" t="e">
        <f>#REF!</f>
        <v>#REF!</v>
      </c>
      <c r="E614" s="170" t="e">
        <f>#REF!</f>
        <v>#REF!</v>
      </c>
      <c r="F614" s="170" t="e">
        <f>#REF!</f>
        <v>#REF!</v>
      </c>
    </row>
    <row r="615" spans="1:6" x14ac:dyDescent="0.3">
      <c r="A615" s="338" t="str">
        <f t="shared" ca="1" si="9"/>
        <v>2. Environnement</v>
      </c>
      <c r="B615" s="284"/>
      <c r="C615" s="217" t="s">
        <v>1898</v>
      </c>
      <c r="D615" s="217" t="s">
        <v>1863</v>
      </c>
      <c r="E615" s="217" t="s">
        <v>1950</v>
      </c>
      <c r="F615" s="218" t="s">
        <v>1951</v>
      </c>
    </row>
    <row r="616" spans="1:6" x14ac:dyDescent="0.3">
      <c r="A616" s="339" t="e">
        <f t="shared" ca="1" si="9"/>
        <v>#REF!</v>
      </c>
      <c r="B616" s="284"/>
      <c r="C616" s="340" t="e">
        <f>#REF!</f>
        <v>#REF!</v>
      </c>
      <c r="D616" s="340" t="e">
        <f>#REF!</f>
        <v>#REF!</v>
      </c>
      <c r="E616" s="340" t="e">
        <f>#REF!</f>
        <v>#REF!</v>
      </c>
      <c r="F616" s="340" t="e">
        <f>#REF!</f>
        <v>#REF!</v>
      </c>
    </row>
    <row r="617" spans="1:6" ht="41.4" x14ac:dyDescent="0.3">
      <c r="A617" s="285" t="e">
        <f t="shared" ca="1" si="9"/>
        <v>#REF!</v>
      </c>
      <c r="B617" s="301"/>
      <c r="C617" s="340" t="e">
        <f>#REF!</f>
        <v>#REF!</v>
      </c>
      <c r="D617" s="340" t="e">
        <f>#REF!</f>
        <v>#REF!</v>
      </c>
      <c r="E617" s="340" t="e">
        <f>#REF!</f>
        <v>#REF!</v>
      </c>
      <c r="F617" s="340" t="e">
        <f>#REF!</f>
        <v>#REF!</v>
      </c>
    </row>
    <row r="618" spans="1:6" x14ac:dyDescent="0.3">
      <c r="A618" s="339" t="e">
        <f t="shared" ca="1" si="9"/>
        <v>#REF!</v>
      </c>
      <c r="B618" s="284"/>
      <c r="C618" s="340" t="e">
        <f>#REF!</f>
        <v>#REF!</v>
      </c>
      <c r="D618" s="340" t="e">
        <f>#REF!</f>
        <v>#REF!</v>
      </c>
      <c r="E618" s="340" t="e">
        <f>#REF!</f>
        <v>#REF!</v>
      </c>
      <c r="F618" s="340" t="e">
        <f>#REF!</f>
        <v>#REF!</v>
      </c>
    </row>
    <row r="619" spans="1:6" ht="41.4" x14ac:dyDescent="0.3">
      <c r="A619" s="285" t="e">
        <f t="shared" ca="1" si="9"/>
        <v>#REF!</v>
      </c>
      <c r="B619" s="301"/>
      <c r="C619" s="340" t="e">
        <f>#REF!</f>
        <v>#REF!</v>
      </c>
      <c r="D619" s="340" t="e">
        <f>#REF!</f>
        <v>#REF!</v>
      </c>
      <c r="E619" s="340" t="e">
        <f>#REF!</f>
        <v>#REF!</v>
      </c>
      <c r="F619" s="340" t="e">
        <f>#REF!</f>
        <v>#REF!</v>
      </c>
    </row>
    <row r="620" spans="1:6" x14ac:dyDescent="0.3">
      <c r="A620" s="339" t="e">
        <f t="shared" ca="1" si="9"/>
        <v>#REF!</v>
      </c>
      <c r="B620" s="284"/>
      <c r="C620" s="340" t="e">
        <f>#REF!</f>
        <v>#REF!</v>
      </c>
      <c r="D620" s="340" t="e">
        <f>#REF!</f>
        <v>#REF!</v>
      </c>
      <c r="E620" s="340" t="e">
        <f>#REF!</f>
        <v>#REF!</v>
      </c>
      <c r="F620" s="340" t="e">
        <f>#REF!</f>
        <v>#REF!</v>
      </c>
    </row>
    <row r="621" spans="1:6" ht="55.2" x14ac:dyDescent="0.3">
      <c r="A621" s="285" t="e">
        <f t="shared" ca="1" si="9"/>
        <v>#REF!</v>
      </c>
      <c r="B621" s="301"/>
      <c r="C621" s="340" t="e">
        <f>#REF!</f>
        <v>#REF!</v>
      </c>
      <c r="D621" s="340" t="e">
        <f>#REF!</f>
        <v>#REF!</v>
      </c>
      <c r="E621" s="340" t="e">
        <f>#REF!</f>
        <v>#REF!</v>
      </c>
      <c r="F621" s="340" t="e">
        <f>#REF!</f>
        <v>#REF!</v>
      </c>
    </row>
    <row r="622" spans="1:6" x14ac:dyDescent="0.3">
      <c r="A622" s="339" t="e">
        <f t="shared" ca="1" si="9"/>
        <v>#REF!</v>
      </c>
      <c r="B622" s="284"/>
      <c r="C622" s="340" t="e">
        <f>#REF!</f>
        <v>#REF!</v>
      </c>
      <c r="D622" s="340" t="e">
        <f>#REF!</f>
        <v>#REF!</v>
      </c>
      <c r="E622" s="340" t="e">
        <f>#REF!</f>
        <v>#REF!</v>
      </c>
      <c r="F622" s="340" t="e">
        <f>#REF!</f>
        <v>#REF!</v>
      </c>
    </row>
    <row r="623" spans="1:6" ht="41.4" x14ac:dyDescent="0.3">
      <c r="A623" s="285" t="e">
        <f t="shared" ca="1" si="9"/>
        <v>#REF!</v>
      </c>
      <c r="B623" s="301"/>
      <c r="C623" s="340" t="e">
        <f>#REF!</f>
        <v>#REF!</v>
      </c>
      <c r="D623" s="340" t="e">
        <f>#REF!</f>
        <v>#REF!</v>
      </c>
      <c r="E623" s="340" t="e">
        <f>#REF!</f>
        <v>#REF!</v>
      </c>
      <c r="F623" s="340" t="e">
        <f>#REF!</f>
        <v>#REF!</v>
      </c>
    </row>
    <row r="624" spans="1:6" x14ac:dyDescent="0.3">
      <c r="A624" s="339" t="e">
        <f t="shared" ca="1" si="9"/>
        <v>#REF!</v>
      </c>
      <c r="B624" s="284"/>
      <c r="C624" s="340" t="e">
        <f>#REF!</f>
        <v>#REF!</v>
      </c>
      <c r="D624" s="340" t="e">
        <f>#REF!</f>
        <v>#REF!</v>
      </c>
      <c r="E624" s="340" t="e">
        <f>#REF!</f>
        <v>#REF!</v>
      </c>
      <c r="F624" s="340" t="e">
        <f>#REF!</f>
        <v>#REF!</v>
      </c>
    </row>
    <row r="625" spans="1:6" ht="41.4" x14ac:dyDescent="0.3">
      <c r="A625" s="285" t="e">
        <f t="shared" ca="1" si="9"/>
        <v>#REF!</v>
      </c>
      <c r="B625" s="301"/>
      <c r="C625" s="340" t="e">
        <f>#REF!</f>
        <v>#REF!</v>
      </c>
      <c r="D625" s="340" t="e">
        <f>#REF!</f>
        <v>#REF!</v>
      </c>
      <c r="E625" s="340" t="e">
        <f>#REF!</f>
        <v>#REF!</v>
      </c>
      <c r="F625" s="340" t="e">
        <f>#REF!</f>
        <v>#REF!</v>
      </c>
    </row>
    <row r="626" spans="1:6" x14ac:dyDescent="0.3">
      <c r="A626" s="339" t="e">
        <f t="shared" ca="1" si="9"/>
        <v>#REF!</v>
      </c>
      <c r="B626" s="284"/>
      <c r="C626" s="340" t="e">
        <f>#REF!</f>
        <v>#REF!</v>
      </c>
      <c r="D626" s="340" t="e">
        <f>#REF!</f>
        <v>#REF!</v>
      </c>
      <c r="E626" s="340" t="e">
        <f>#REF!</f>
        <v>#REF!</v>
      </c>
      <c r="F626" s="340" t="e">
        <f>#REF!</f>
        <v>#REF!</v>
      </c>
    </row>
    <row r="627" spans="1:6" ht="41.4" x14ac:dyDescent="0.3">
      <c r="A627" s="285" t="e">
        <f t="shared" ca="1" si="9"/>
        <v>#REF!</v>
      </c>
      <c r="B627" s="301"/>
      <c r="C627" s="340" t="e">
        <f>#REF!</f>
        <v>#REF!</v>
      </c>
      <c r="D627" s="340" t="e">
        <f>#REF!</f>
        <v>#REF!</v>
      </c>
      <c r="E627" s="340" t="e">
        <f>#REF!</f>
        <v>#REF!</v>
      </c>
      <c r="F627" s="340" t="e">
        <f>#REF!</f>
        <v>#REF!</v>
      </c>
    </row>
    <row r="628" spans="1:6" x14ac:dyDescent="0.3">
      <c r="A628" s="339" t="e">
        <f t="shared" ca="1" si="9"/>
        <v>#REF!</v>
      </c>
      <c r="B628" s="284"/>
      <c r="C628" s="340" t="e">
        <f>#REF!</f>
        <v>#REF!</v>
      </c>
      <c r="D628" s="340" t="e">
        <f>#REF!</f>
        <v>#REF!</v>
      </c>
      <c r="E628" s="340" t="e">
        <f>#REF!</f>
        <v>#REF!</v>
      </c>
      <c r="F628" s="340" t="e">
        <f>#REF!</f>
        <v>#REF!</v>
      </c>
    </row>
    <row r="629" spans="1:6" ht="27.6" x14ac:dyDescent="0.3">
      <c r="A629" s="285" t="e">
        <f t="shared" ca="1" si="9"/>
        <v>#REF!</v>
      </c>
      <c r="B629" s="301"/>
      <c r="C629" s="340" t="e">
        <f>#REF!</f>
        <v>#REF!</v>
      </c>
      <c r="D629" s="340" t="e">
        <f>#REF!</f>
        <v>#REF!</v>
      </c>
      <c r="E629" s="340" t="e">
        <f>#REF!</f>
        <v>#REF!</v>
      </c>
      <c r="F629" s="340" t="e">
        <f>#REF!</f>
        <v>#REF!</v>
      </c>
    </row>
    <row r="630" spans="1:6" x14ac:dyDescent="0.3">
      <c r="A630" s="338" t="str">
        <f t="shared" ca="1" si="9"/>
        <v>3. Société</v>
      </c>
      <c r="B630" s="284"/>
      <c r="C630" s="302" t="s">
        <v>1899</v>
      </c>
      <c r="D630" s="217" t="s">
        <v>1865</v>
      </c>
      <c r="E630" s="217" t="s">
        <v>1999</v>
      </c>
      <c r="F630" s="218" t="s">
        <v>1952</v>
      </c>
    </row>
    <row r="631" spans="1:6" x14ac:dyDescent="0.3">
      <c r="A631" s="339" t="e">
        <f t="shared" ca="1" si="9"/>
        <v>#REF!</v>
      </c>
      <c r="B631" s="284"/>
      <c r="C631" s="337" t="e">
        <f>#REF!</f>
        <v>#REF!</v>
      </c>
      <c r="D631" s="337" t="e">
        <f>#REF!</f>
        <v>#REF!</v>
      </c>
      <c r="E631" s="337" t="e">
        <f>#REF!</f>
        <v>#REF!</v>
      </c>
      <c r="F631" s="337" t="e">
        <f>#REF!</f>
        <v>#REF!</v>
      </c>
    </row>
    <row r="632" spans="1:6" ht="27.6" x14ac:dyDescent="0.3">
      <c r="A632" s="285" t="e">
        <f t="shared" ca="1" si="9"/>
        <v>#REF!</v>
      </c>
      <c r="B632" s="301"/>
      <c r="C632" s="337" t="e">
        <f>#REF!</f>
        <v>#REF!</v>
      </c>
      <c r="D632" s="337" t="e">
        <f>#REF!</f>
        <v>#REF!</v>
      </c>
      <c r="E632" s="337" t="e">
        <f>#REF!</f>
        <v>#REF!</v>
      </c>
      <c r="F632" s="337" t="e">
        <f>#REF!</f>
        <v>#REF!</v>
      </c>
    </row>
    <row r="633" spans="1:6" ht="27.6" x14ac:dyDescent="0.3">
      <c r="A633" s="339" t="e">
        <f t="shared" ca="1" si="9"/>
        <v>#REF!</v>
      </c>
      <c r="B633" s="284"/>
      <c r="C633" s="337" t="e">
        <f>#REF!</f>
        <v>#REF!</v>
      </c>
      <c r="D633" s="337" t="e">
        <f>#REF!</f>
        <v>#REF!</v>
      </c>
      <c r="E633" s="337" t="e">
        <f>#REF!</f>
        <v>#REF!</v>
      </c>
      <c r="F633" s="337" t="e">
        <f>#REF!</f>
        <v>#REF!</v>
      </c>
    </row>
    <row r="634" spans="1:6" ht="27.6" x14ac:dyDescent="0.3">
      <c r="A634" s="285" t="e">
        <f t="shared" ca="1" si="9"/>
        <v>#REF!</v>
      </c>
      <c r="B634" s="301"/>
      <c r="C634" s="337" t="e">
        <f>#REF!</f>
        <v>#REF!</v>
      </c>
      <c r="D634" s="337" t="e">
        <f>#REF!</f>
        <v>#REF!</v>
      </c>
      <c r="E634" s="337" t="e">
        <f>#REF!</f>
        <v>#REF!</v>
      </c>
      <c r="F634" s="337" t="e">
        <f>#REF!</f>
        <v>#REF!</v>
      </c>
    </row>
    <row r="635" spans="1:6" x14ac:dyDescent="0.3">
      <c r="A635" s="339" t="e">
        <f t="shared" ca="1" si="9"/>
        <v>#REF!</v>
      </c>
      <c r="B635" s="284"/>
      <c r="C635" s="337" t="e">
        <f>#REF!</f>
        <v>#REF!</v>
      </c>
      <c r="D635" s="337" t="e">
        <f>#REF!</f>
        <v>#REF!</v>
      </c>
      <c r="E635" s="337" t="e">
        <f>#REF!</f>
        <v>#REF!</v>
      </c>
      <c r="F635" s="337" t="e">
        <f>#REF!</f>
        <v>#REF!</v>
      </c>
    </row>
    <row r="636" spans="1:6" ht="69" x14ac:dyDescent="0.3">
      <c r="A636" s="285" t="e">
        <f t="shared" ca="1" si="9"/>
        <v>#REF!</v>
      </c>
      <c r="B636" s="301"/>
      <c r="C636" s="337" t="e">
        <f>#REF!</f>
        <v>#REF!</v>
      </c>
      <c r="D636" s="337" t="e">
        <f>#REF!</f>
        <v>#REF!</v>
      </c>
      <c r="E636" s="337" t="e">
        <f>#REF!</f>
        <v>#REF!</v>
      </c>
      <c r="F636" s="337" t="e">
        <f>#REF!</f>
        <v>#REF!</v>
      </c>
    </row>
    <row r="637" spans="1:6" x14ac:dyDescent="0.3">
      <c r="A637" s="339" t="e">
        <f t="shared" ca="1" si="9"/>
        <v>#REF!</v>
      </c>
      <c r="B637" s="284"/>
      <c r="C637" s="337" t="e">
        <f>#REF!</f>
        <v>#REF!</v>
      </c>
      <c r="D637" s="337" t="e">
        <f>#REF!</f>
        <v>#REF!</v>
      </c>
      <c r="E637" s="337" t="e">
        <f>#REF!</f>
        <v>#REF!</v>
      </c>
      <c r="F637" s="337" t="e">
        <f>#REF!</f>
        <v>#REF!</v>
      </c>
    </row>
    <row r="638" spans="1:6" ht="41.4" x14ac:dyDescent="0.3">
      <c r="A638" s="285" t="e">
        <f t="shared" ref="A638" ca="1" si="14">OFFSET($C638,0,$B$4-1)</f>
        <v>#REF!</v>
      </c>
      <c r="B638" s="301"/>
      <c r="C638" s="337" t="e">
        <f>#REF!</f>
        <v>#REF!</v>
      </c>
      <c r="D638" s="337" t="e">
        <f>#REF!</f>
        <v>#REF!</v>
      </c>
      <c r="E638" s="337" t="e">
        <f>#REF!</f>
        <v>#REF!</v>
      </c>
      <c r="F638" s="337" t="e">
        <f>#REF!</f>
        <v>#REF!</v>
      </c>
    </row>
    <row r="639" spans="1:6" x14ac:dyDescent="0.3">
      <c r="A639" s="339" t="e">
        <f t="shared" ca="1" si="9"/>
        <v>#REF!</v>
      </c>
      <c r="B639" s="284"/>
      <c r="C639" s="337" t="e">
        <f>#REF!</f>
        <v>#REF!</v>
      </c>
      <c r="D639" s="337" t="e">
        <f>#REF!</f>
        <v>#REF!</v>
      </c>
      <c r="E639" s="337" t="e">
        <f>#REF!</f>
        <v>#REF!</v>
      </c>
      <c r="F639" s="337" t="e">
        <f>#REF!</f>
        <v>#REF!</v>
      </c>
    </row>
    <row r="640" spans="1:6" ht="55.2" x14ac:dyDescent="0.3">
      <c r="A640" s="285" t="e">
        <f t="shared" ref="A640" ca="1" si="15">OFFSET($C640,0,$B$4-1)</f>
        <v>#REF!</v>
      </c>
      <c r="B640" s="301"/>
      <c r="C640" s="337" t="e">
        <f>#REF!</f>
        <v>#REF!</v>
      </c>
      <c r="D640" s="337" t="e">
        <f>#REF!</f>
        <v>#REF!</v>
      </c>
      <c r="E640" s="337" t="e">
        <f>#REF!</f>
        <v>#REF!</v>
      </c>
      <c r="F640" s="337" t="e">
        <f>#REF!</f>
        <v>#REF!</v>
      </c>
    </row>
    <row r="641" spans="1:6" x14ac:dyDescent="0.3">
      <c r="A641" s="339" t="e">
        <f t="shared" ca="1" si="9"/>
        <v>#REF!</v>
      </c>
      <c r="B641" s="284"/>
      <c r="C641" s="337" t="e">
        <f>#REF!</f>
        <v>#REF!</v>
      </c>
      <c r="D641" s="337" t="e">
        <f>#REF!</f>
        <v>#REF!</v>
      </c>
      <c r="E641" s="337" t="e">
        <f>#REF!</f>
        <v>#REF!</v>
      </c>
      <c r="F641" s="337" t="e">
        <f>#REF!</f>
        <v>#REF!</v>
      </c>
    </row>
    <row r="642" spans="1:6" ht="110.4" x14ac:dyDescent="0.3">
      <c r="A642" s="285" t="e">
        <f t="shared" ca="1" si="9"/>
        <v>#REF!</v>
      </c>
      <c r="C642" s="337" t="e">
        <f>#REF!</f>
        <v>#REF!</v>
      </c>
      <c r="D642" s="337" t="e">
        <f>#REF!</f>
        <v>#REF!</v>
      </c>
      <c r="E642" s="337" t="e">
        <f>#REF!</f>
        <v>#REF!</v>
      </c>
      <c r="F642" s="337" t="e">
        <f>#REF!</f>
        <v>#REF!</v>
      </c>
    </row>
    <row r="643" spans="1:6" x14ac:dyDescent="0.3">
      <c r="A643" s="285" t="str">
        <f t="shared" ca="1" si="9"/>
        <v>1.1 Création de valeur</v>
      </c>
      <c r="C643" s="217" t="s">
        <v>2176</v>
      </c>
      <c r="D643" s="217" t="s">
        <v>1912</v>
      </c>
      <c r="E643" s="217" t="s">
        <v>1953</v>
      </c>
      <c r="F643" s="218" t="s">
        <v>1969</v>
      </c>
    </row>
    <row r="644" spans="1:6" x14ac:dyDescent="0.3">
      <c r="A644" s="285" t="str">
        <f t="shared" ca="1" si="9"/>
        <v>1.2 Conditions-cadres</v>
      </c>
      <c r="C644" s="217" t="s">
        <v>2177</v>
      </c>
      <c r="D644" s="217" t="s">
        <v>1929</v>
      </c>
      <c r="E644" s="217" t="s">
        <v>1954</v>
      </c>
      <c r="F644" s="218" t="s">
        <v>1970</v>
      </c>
    </row>
    <row r="645" spans="1:6" x14ac:dyDescent="0.3">
      <c r="A645" s="285" t="str">
        <f t="shared" ca="1" si="9"/>
        <v>1.3 Compétitivité</v>
      </c>
      <c r="C645" s="217" t="s">
        <v>1901</v>
      </c>
      <c r="D645" s="217" t="s">
        <v>1922</v>
      </c>
      <c r="E645" s="217" t="s">
        <v>1955</v>
      </c>
      <c r="F645" s="218" t="s">
        <v>1971</v>
      </c>
    </row>
    <row r="646" spans="1:6" x14ac:dyDescent="0.3">
      <c r="A646" s="285" t="str">
        <f t="shared" ca="1" si="9"/>
        <v>1.4 Finances</v>
      </c>
      <c r="C646" s="217" t="s">
        <v>2178</v>
      </c>
      <c r="D646" s="217" t="s">
        <v>1913</v>
      </c>
      <c r="E646" s="217" t="s">
        <v>1956</v>
      </c>
      <c r="F646" s="218" t="s">
        <v>1972</v>
      </c>
    </row>
    <row r="647" spans="1:6" x14ac:dyDescent="0.3">
      <c r="A647" s="285" t="str">
        <f t="shared" ca="1" si="9"/>
        <v>1.5 Viabilité</v>
      </c>
      <c r="C647" s="217" t="s">
        <v>2179</v>
      </c>
      <c r="D647" s="217" t="s">
        <v>1923</v>
      </c>
      <c r="E647" s="217" t="s">
        <v>1957</v>
      </c>
      <c r="F647" s="218" t="s">
        <v>1973</v>
      </c>
    </row>
    <row r="648" spans="1:6" x14ac:dyDescent="0.3">
      <c r="A648" s="285" t="str">
        <f t="shared" ca="1" si="9"/>
        <v>1.6 Adéquation</v>
      </c>
      <c r="C648" s="217" t="s">
        <v>2180</v>
      </c>
      <c r="D648" s="217" t="s">
        <v>1924</v>
      </c>
      <c r="E648" s="217" t="s">
        <v>1958</v>
      </c>
      <c r="F648" s="218" t="s">
        <v>1974</v>
      </c>
    </row>
    <row r="649" spans="1:6" x14ac:dyDescent="0.3">
      <c r="A649" s="285" t="str">
        <f t="shared" ca="1" si="9"/>
        <v>2.1 Biodiversité</v>
      </c>
      <c r="B649" s="284"/>
      <c r="C649" s="217" t="s">
        <v>2181</v>
      </c>
      <c r="D649" s="217" t="s">
        <v>1914</v>
      </c>
      <c r="E649" s="217" t="s">
        <v>1959</v>
      </c>
      <c r="F649" s="218" t="s">
        <v>1975</v>
      </c>
    </row>
    <row r="650" spans="1:6" x14ac:dyDescent="0.3">
      <c r="A650" s="285" t="str">
        <f t="shared" ca="1" si="9"/>
        <v>2.2 Énergie</v>
      </c>
      <c r="C650" s="217" t="s">
        <v>1864</v>
      </c>
      <c r="D650" s="217" t="s">
        <v>1915</v>
      </c>
      <c r="E650" s="217" t="s">
        <v>1960</v>
      </c>
      <c r="F650" s="218" t="s">
        <v>1976</v>
      </c>
    </row>
    <row r="651" spans="1:6" x14ac:dyDescent="0.3">
      <c r="A651" s="285" t="str">
        <f t="shared" ca="1" si="9"/>
        <v>2.3 Mobilité</v>
      </c>
      <c r="C651" s="217" t="s">
        <v>1902</v>
      </c>
      <c r="D651" s="217" t="s">
        <v>1916</v>
      </c>
      <c r="E651" s="217" t="s">
        <v>1961</v>
      </c>
      <c r="F651" s="218" t="s">
        <v>1977</v>
      </c>
    </row>
    <row r="652" spans="1:6" x14ac:dyDescent="0.3">
      <c r="A652" s="285" t="str">
        <f t="shared" ca="1" si="9"/>
        <v>2.4 Ressources</v>
      </c>
      <c r="C652" s="217" t="s">
        <v>2182</v>
      </c>
      <c r="D652" s="217" t="s">
        <v>1925</v>
      </c>
      <c r="E652" s="217" t="s">
        <v>1962</v>
      </c>
      <c r="F652" s="218" t="s">
        <v>1978</v>
      </c>
    </row>
    <row r="653" spans="1:6" x14ac:dyDescent="0.3">
      <c r="A653" s="285" t="str">
        <f t="shared" ca="1" si="9"/>
        <v>2.5 Eau/sol</v>
      </c>
      <c r="C653" s="217" t="s">
        <v>1903</v>
      </c>
      <c r="D653" s="217" t="s">
        <v>1917</v>
      </c>
      <c r="E653" s="217" t="s">
        <v>1963</v>
      </c>
      <c r="F653" s="218" t="s">
        <v>1979</v>
      </c>
    </row>
    <row r="654" spans="1:6" x14ac:dyDescent="0.3">
      <c r="A654" s="285" t="str">
        <f t="shared" ca="1" si="9"/>
        <v>2.6 Air</v>
      </c>
      <c r="C654" s="217" t="s">
        <v>1904</v>
      </c>
      <c r="D654" s="217" t="s">
        <v>1926</v>
      </c>
      <c r="E654" s="217" t="s">
        <v>1926</v>
      </c>
      <c r="F654" s="218" t="s">
        <v>1980</v>
      </c>
    </row>
    <row r="655" spans="1:6" x14ac:dyDescent="0.3">
      <c r="A655" s="285" t="str">
        <f t="shared" ca="1" si="9"/>
        <v>2.7 Risques</v>
      </c>
      <c r="C655" s="217" t="s">
        <v>2183</v>
      </c>
      <c r="D655" s="217" t="s">
        <v>1918</v>
      </c>
      <c r="E655" s="217" t="s">
        <v>1964</v>
      </c>
      <c r="F655" s="218" t="s">
        <v>1981</v>
      </c>
    </row>
    <row r="656" spans="1:6" x14ac:dyDescent="0.3">
      <c r="A656" s="285" t="str">
        <f t="shared" ca="1" si="9"/>
        <v>3.1 Santé</v>
      </c>
      <c r="C656" s="217" t="s">
        <v>1905</v>
      </c>
      <c r="D656" s="217" t="s">
        <v>1919</v>
      </c>
      <c r="E656" s="217" t="s">
        <v>1965</v>
      </c>
      <c r="F656" s="218" t="s">
        <v>1982</v>
      </c>
    </row>
    <row r="657" spans="1:6" x14ac:dyDescent="0.3">
      <c r="A657" s="285" t="str">
        <f t="shared" ca="1" si="9"/>
        <v>3.2 Education</v>
      </c>
      <c r="C657" s="217" t="s">
        <v>1906</v>
      </c>
      <c r="D657" s="217" t="s">
        <v>1927</v>
      </c>
      <c r="E657" s="217" t="s">
        <v>1927</v>
      </c>
      <c r="F657" s="218" t="s">
        <v>1983</v>
      </c>
    </row>
    <row r="658" spans="1:6" x14ac:dyDescent="0.3">
      <c r="A658" s="285" t="str">
        <f t="shared" ca="1" si="9"/>
        <v>3.3 Cohésion sociale</v>
      </c>
      <c r="C658" s="217" t="s">
        <v>1907</v>
      </c>
      <c r="D658" s="217" t="s">
        <v>1866</v>
      </c>
      <c r="E658" s="217" t="s">
        <v>1966</v>
      </c>
      <c r="F658" s="218" t="s">
        <v>1984</v>
      </c>
    </row>
    <row r="659" spans="1:6" x14ac:dyDescent="0.3">
      <c r="A659" s="285" t="str">
        <f t="shared" ca="1" si="9"/>
        <v>3.4 Cadre de vie</v>
      </c>
      <c r="C659" s="217" t="s">
        <v>1908</v>
      </c>
      <c r="D659" s="217" t="s">
        <v>1928</v>
      </c>
      <c r="E659" s="217" t="s">
        <v>1967</v>
      </c>
      <c r="F659" s="218" t="s">
        <v>1985</v>
      </c>
    </row>
    <row r="660" spans="1:6" x14ac:dyDescent="0.3">
      <c r="A660" s="285" t="str">
        <f t="shared" ca="1" si="9"/>
        <v>3.5 Droit et sécurité</v>
      </c>
      <c r="C660" s="217" t="s">
        <v>1909</v>
      </c>
      <c r="D660" s="217" t="s">
        <v>1920</v>
      </c>
      <c r="E660" s="217" t="s">
        <v>1968</v>
      </c>
      <c r="F660" s="218" t="s">
        <v>1986</v>
      </c>
    </row>
    <row r="661" spans="1:6" x14ac:dyDescent="0.3">
      <c r="A661" s="285" t="str">
        <f t="shared" ca="1" si="9"/>
        <v>3.6 Gouvernance</v>
      </c>
      <c r="B661" s="284"/>
      <c r="C661" s="217" t="s">
        <v>2184</v>
      </c>
      <c r="D661" s="217" t="s">
        <v>1921</v>
      </c>
      <c r="E661" s="217" t="s">
        <v>1910</v>
      </c>
      <c r="F661" s="218" t="s">
        <v>1910</v>
      </c>
    </row>
    <row r="662" spans="1:6" ht="27.6" x14ac:dyDescent="0.3">
      <c r="A662" s="285" t="str">
        <f t="shared" ca="1" si="9"/>
        <v>Paix, dignité et égalité sur une plantète saine</v>
      </c>
      <c r="B662" s="301"/>
      <c r="C662" s="302" t="s">
        <v>2165</v>
      </c>
      <c r="D662" s="302" t="s">
        <v>2163</v>
      </c>
      <c r="E662" s="302" t="s">
        <v>2094</v>
      </c>
      <c r="F662" s="218" t="s">
        <v>2164</v>
      </c>
    </row>
    <row r="663" spans="1:6" ht="27.6" x14ac:dyDescent="0.3">
      <c r="A663" s="285" t="str">
        <f t="shared" ref="A663:A696" ca="1" si="16">OFFSET($C663,0,$B$4-1)</f>
        <v>Éliminer la pauvreté sous toutes ses formes et partout dans le monde</v>
      </c>
      <c r="B663" s="284"/>
      <c r="C663" s="217" t="s">
        <v>2095</v>
      </c>
      <c r="D663" s="217" t="s">
        <v>2112</v>
      </c>
      <c r="E663" s="217" t="s">
        <v>2129</v>
      </c>
      <c r="F663" s="218" t="s">
        <v>2146</v>
      </c>
    </row>
    <row r="664" spans="1:6" ht="41.4" x14ac:dyDescent="0.3">
      <c r="A664" s="285" t="str">
        <f t="shared" ca="1" si="16"/>
        <v>Éliminer la faim, assurer la sécurité alimentaire, améliorer la nutrition et promouvoir l ’agriculture durable</v>
      </c>
      <c r="B664" s="284"/>
      <c r="C664" s="217" t="s">
        <v>2096</v>
      </c>
      <c r="D664" s="217" t="s">
        <v>2113</v>
      </c>
      <c r="E664" s="217" t="s">
        <v>2130</v>
      </c>
      <c r="F664" s="218" t="s">
        <v>2147</v>
      </c>
    </row>
    <row r="665" spans="1:6" ht="27.6" x14ac:dyDescent="0.3">
      <c r="A665" s="285" t="str">
        <f t="shared" ca="1" si="16"/>
        <v>Permettre à tous de vivre en bonne santé et promouvoir le bien-être de tous à tout âge</v>
      </c>
      <c r="B665" s="284"/>
      <c r="C665" s="217" t="s">
        <v>2097</v>
      </c>
      <c r="D665" s="217" t="s">
        <v>2114</v>
      </c>
      <c r="E665" s="217" t="s">
        <v>2131</v>
      </c>
      <c r="F665" s="218" t="s">
        <v>2148</v>
      </c>
    </row>
    <row r="666" spans="1:6" ht="41.4" x14ac:dyDescent="0.3">
      <c r="A666" s="285" t="str">
        <f t="shared" ca="1" si="16"/>
        <v>Assurer à tous une éducation équitable, inclusive et de qualité et des possibilités d ’apprentissage tout au long de la vie</v>
      </c>
      <c r="B666" s="284"/>
      <c r="C666" s="217" t="s">
        <v>2098</v>
      </c>
      <c r="D666" s="217" t="s">
        <v>2115</v>
      </c>
      <c r="E666" s="217" t="s">
        <v>2132</v>
      </c>
      <c r="F666" s="218" t="s">
        <v>2149</v>
      </c>
    </row>
    <row r="667" spans="1:6" ht="41.4" x14ac:dyDescent="0.3">
      <c r="A667" s="285" t="str">
        <f t="shared" ca="1" si="16"/>
        <v>Parvenir à l’égalité  des sexes et autonomiser toutes  les femmes et les filles</v>
      </c>
      <c r="B667" s="284"/>
      <c r="C667" s="217" t="s">
        <v>2099</v>
      </c>
      <c r="D667" s="217" t="s">
        <v>2128</v>
      </c>
      <c r="E667" s="217" t="s">
        <v>2133</v>
      </c>
      <c r="F667" s="218" t="s">
        <v>2150</v>
      </c>
    </row>
    <row r="668" spans="1:6" ht="41.4" x14ac:dyDescent="0.3">
      <c r="A668" s="285" t="str">
        <f t="shared" ca="1" si="16"/>
        <v>Garantir l’accès de tous à des services d ’alimentation en eau et d’assainissement gérés de façon durable</v>
      </c>
      <c r="B668" s="284"/>
      <c r="C668" s="217" t="s">
        <v>2100</v>
      </c>
      <c r="D668" s="217" t="s">
        <v>2116</v>
      </c>
      <c r="E668" s="217" t="s">
        <v>2134</v>
      </c>
      <c r="F668" s="218" t="s">
        <v>2151</v>
      </c>
    </row>
    <row r="669" spans="1:6" ht="41.4" x14ac:dyDescent="0.3">
      <c r="A669" s="285" t="str">
        <f t="shared" ca="1" si="16"/>
        <v>Garantir l’accès de tous à des services énergét iques fiables, durables et modernes, à un coût abordable</v>
      </c>
      <c r="B669" s="284"/>
      <c r="C669" s="217" t="s">
        <v>2101</v>
      </c>
      <c r="D669" s="217" t="s">
        <v>2117</v>
      </c>
      <c r="E669" s="217" t="s">
        <v>2135</v>
      </c>
      <c r="F669" s="218" t="s">
        <v>2152</v>
      </c>
    </row>
    <row r="670" spans="1:6" ht="55.2" x14ac:dyDescent="0.3">
      <c r="A670" s="285" t="str">
        <f t="shared" ca="1" si="16"/>
        <v>Promouvoir une croissance économique soutenue, partagée et durable, le plein emploi productif et un travail décent pour tous</v>
      </c>
      <c r="B670" s="284"/>
      <c r="C670" s="217" t="s">
        <v>2102</v>
      </c>
      <c r="D670" s="217" t="s">
        <v>2118</v>
      </c>
      <c r="E670" s="217" t="s">
        <v>2136</v>
      </c>
      <c r="F670" s="218" t="s">
        <v>2153</v>
      </c>
    </row>
    <row r="671" spans="1:6" ht="55.2" x14ac:dyDescent="0.3">
      <c r="A671" s="285" t="str">
        <f t="shared" ca="1" si="16"/>
        <v>Bâtir une infrastructure résiliente, pro mouvoir une industrialisation durable qui profite à tous et encourager l’innovation</v>
      </c>
      <c r="B671" s="284"/>
      <c r="C671" s="217" t="s">
        <v>2103</v>
      </c>
      <c r="D671" s="217" t="s">
        <v>2119</v>
      </c>
      <c r="E671" s="217" t="s">
        <v>2137</v>
      </c>
      <c r="F671" s="218" t="s">
        <v>2154</v>
      </c>
    </row>
    <row r="672" spans="1:6" ht="27.6" x14ac:dyDescent="0.3">
      <c r="A672" s="285" t="str">
        <f t="shared" ca="1" si="16"/>
        <v>Réduire les inégalités dans les pays et d ’un pays à l’autre</v>
      </c>
      <c r="B672" s="284"/>
      <c r="C672" s="217" t="s">
        <v>2104</v>
      </c>
      <c r="D672" s="217" t="s">
        <v>2120</v>
      </c>
      <c r="E672" s="217" t="s">
        <v>2138</v>
      </c>
      <c r="F672" s="218" t="s">
        <v>2155</v>
      </c>
    </row>
    <row r="673" spans="1:6" ht="41.4" x14ac:dyDescent="0.3">
      <c r="A673" s="285" t="str">
        <f t="shared" ca="1" si="16"/>
        <v>Faire en sorte que les villes et les établissements humains soient ouverts à tous, sûrs, résilients et durables</v>
      </c>
      <c r="B673" s="284"/>
      <c r="C673" s="217" t="s">
        <v>2105</v>
      </c>
      <c r="D673" s="217" t="s">
        <v>2121</v>
      </c>
      <c r="E673" s="217" t="s">
        <v>2139</v>
      </c>
      <c r="F673" s="218" t="s">
        <v>2156</v>
      </c>
    </row>
    <row r="674" spans="1:6" ht="27.6" x14ac:dyDescent="0.3">
      <c r="A674" s="285" t="str">
        <f t="shared" ca="1" si="16"/>
        <v>Établir des modes de consommation et de production durables</v>
      </c>
      <c r="B674" s="284"/>
      <c r="C674" s="217" t="s">
        <v>2106</v>
      </c>
      <c r="D674" s="217" t="s">
        <v>2122</v>
      </c>
      <c r="E674" s="217" t="s">
        <v>2140</v>
      </c>
      <c r="F674" s="218" t="s">
        <v>2157</v>
      </c>
    </row>
    <row r="675" spans="1:6" ht="41.4" x14ac:dyDescent="0.3">
      <c r="A675" s="285" t="str">
        <f t="shared" ca="1" si="16"/>
        <v>Prendre d’urgence des mesures pour lutter contre les changements climatiques et leurs répercussions</v>
      </c>
      <c r="B675" s="284"/>
      <c r="C675" s="217" t="s">
        <v>2107</v>
      </c>
      <c r="D675" s="217" t="s">
        <v>2123</v>
      </c>
      <c r="E675" s="217" t="s">
        <v>2141</v>
      </c>
      <c r="F675" s="218" t="s">
        <v>2158</v>
      </c>
    </row>
    <row r="676" spans="1:6" ht="41.4" x14ac:dyDescent="0.3">
      <c r="A676" s="285" t="str">
        <f t="shared" ca="1" si="16"/>
        <v>Conserver et exploiter de manière durable les océans, les mers et les ressources marines aux fins du développement durable</v>
      </c>
      <c r="B676" s="284"/>
      <c r="C676" s="217" t="s">
        <v>2108</v>
      </c>
      <c r="D676" s="217" t="s">
        <v>2124</v>
      </c>
      <c r="E676" s="217" t="s">
        <v>2143</v>
      </c>
      <c r="F676" s="218" t="s">
        <v>2159</v>
      </c>
    </row>
    <row r="677" spans="1:6" ht="82.8" x14ac:dyDescent="0.3">
      <c r="A677" s="285" t="str">
        <f t="shared" ca="1" si="16"/>
        <v>Préserver et restaurer les écosystèmes terrestres, en veillant à les exploiter de façon durable, gérer durablement les forêts, lutter contre la désertification, enrayer et inverser le processus de dégradation des terres et mettre fin à l’appauvrissement de la biodiversité</v>
      </c>
      <c r="B677" s="284"/>
      <c r="C677" s="217" t="s">
        <v>2109</v>
      </c>
      <c r="D677" s="217" t="s">
        <v>2125</v>
      </c>
      <c r="E677" s="217" t="s">
        <v>2142</v>
      </c>
      <c r="F677" s="218" t="s">
        <v>2160</v>
      </c>
    </row>
    <row r="678" spans="1:6" ht="82.8" x14ac:dyDescent="0.3">
      <c r="A678" s="285" t="str">
        <f t="shared" ca="1" si="16"/>
        <v>Promouvoir l’avènement de sociétés pacifiques et inclusives aux fins du développement durable, assurer l’accès de tous à la justice et mettre en place, à tous les niveaux, des institutions efficaces, responsables et ouvertes à tous</v>
      </c>
      <c r="B678" s="284"/>
      <c r="C678" s="217" t="s">
        <v>2110</v>
      </c>
      <c r="D678" s="217" t="s">
        <v>2126</v>
      </c>
      <c r="E678" s="217" t="s">
        <v>2144</v>
      </c>
      <c r="F678" s="218" t="s">
        <v>2161</v>
      </c>
    </row>
    <row r="679" spans="1:6" ht="41.4" x14ac:dyDescent="0.3">
      <c r="A679" s="285" t="str">
        <f t="shared" ca="1" si="16"/>
        <v>Renforcer  les  moyens  de  mettre  en  œuvre  le  Partenariat mondial pour le développement durable et le revitaliser</v>
      </c>
      <c r="B679" s="284"/>
      <c r="C679" s="217" t="s">
        <v>2111</v>
      </c>
      <c r="D679" s="217" t="s">
        <v>2127</v>
      </c>
      <c r="E679" s="217" t="s">
        <v>2145</v>
      </c>
      <c r="F679" s="218" t="s">
        <v>2162</v>
      </c>
    </row>
    <row r="680" spans="1:6" ht="42" customHeight="1" x14ac:dyDescent="0.3">
      <c r="A680" s="285">
        <f t="shared" ca="1" si="16"/>
        <v>0</v>
      </c>
      <c r="B680" s="284"/>
      <c r="C680" s="217"/>
      <c r="D680" s="217"/>
      <c r="E680" s="217"/>
      <c r="F680" s="218"/>
    </row>
    <row r="681" spans="1:6" ht="16.8" customHeight="1" x14ac:dyDescent="0.3">
      <c r="A681" s="289" t="str">
        <f t="shared" ca="1" si="16"/>
        <v>LISTE DE TÂCHES</v>
      </c>
      <c r="B681" s="344"/>
      <c r="C681" s="288" t="s">
        <v>2211</v>
      </c>
      <c r="D681" s="289" t="s">
        <v>2212</v>
      </c>
      <c r="E681" s="289" t="s">
        <v>2213</v>
      </c>
      <c r="F681" s="289" t="s">
        <v>2214</v>
      </c>
    </row>
    <row r="682" spans="1:6" ht="16.8" customHeight="1" x14ac:dyDescent="0.3">
      <c r="A682" s="285" t="str">
        <f t="shared" ca="1" si="16"/>
        <v>No</v>
      </c>
      <c r="B682" s="345"/>
      <c r="C682" s="346" t="s">
        <v>400</v>
      </c>
      <c r="D682" s="346" t="s">
        <v>641</v>
      </c>
      <c r="E682" s="346" t="s">
        <v>401</v>
      </c>
      <c r="F682" s="347" t="s">
        <v>401</v>
      </c>
    </row>
    <row r="683" spans="1:6" ht="16.8" customHeight="1" x14ac:dyDescent="0.3">
      <c r="A683" s="285" t="str">
        <f t="shared" ca="1" si="16"/>
        <v>Qui</v>
      </c>
      <c r="B683" s="345"/>
      <c r="C683" s="348" t="s">
        <v>2215</v>
      </c>
      <c r="D683" s="349" t="s">
        <v>2216</v>
      </c>
      <c r="E683" s="346" t="s">
        <v>2217</v>
      </c>
      <c r="F683" s="347" t="s">
        <v>2218</v>
      </c>
    </row>
    <row r="684" spans="1:6" ht="16.8" customHeight="1" x14ac:dyDescent="0.3">
      <c r="A684" s="285" t="str">
        <f t="shared" ca="1" si="16"/>
        <v>Tâche / Décision / Projet</v>
      </c>
      <c r="B684" s="345"/>
      <c r="C684" s="349" t="s">
        <v>2219</v>
      </c>
      <c r="D684" s="349" t="s">
        <v>2220</v>
      </c>
      <c r="E684" s="349" t="s">
        <v>2221</v>
      </c>
      <c r="F684" s="348" t="s">
        <v>2222</v>
      </c>
    </row>
    <row r="685" spans="1:6" ht="16.8" customHeight="1" x14ac:dyDescent="0.3">
      <c r="A685" s="285" t="str">
        <f t="shared" ca="1" si="16"/>
        <v>Priorité</v>
      </c>
      <c r="B685" s="345"/>
      <c r="C685" s="349" t="s">
        <v>2223</v>
      </c>
      <c r="D685" s="349" t="s">
        <v>1086</v>
      </c>
      <c r="E685" s="349" t="s">
        <v>1087</v>
      </c>
      <c r="F685" s="348" t="s">
        <v>2224</v>
      </c>
    </row>
    <row r="686" spans="1:6" ht="16.8" customHeight="1" x14ac:dyDescent="0.3">
      <c r="A686" s="285" t="str">
        <f t="shared" ca="1" si="16"/>
        <v xml:space="preserve">Date de début </v>
      </c>
      <c r="B686" s="345"/>
      <c r="C686" s="349" t="s">
        <v>2225</v>
      </c>
      <c r="D686" s="349" t="s">
        <v>2226</v>
      </c>
      <c r="E686" s="349" t="s">
        <v>2227</v>
      </c>
      <c r="F686" s="348" t="s">
        <v>2228</v>
      </c>
    </row>
    <row r="687" spans="1:6" ht="16.8" customHeight="1" x14ac:dyDescent="0.3">
      <c r="A687" s="285" t="str">
        <f t="shared" ca="1" si="16"/>
        <v>Date d’échéance</v>
      </c>
      <c r="B687" s="345"/>
      <c r="C687" s="349" t="s">
        <v>2229</v>
      </c>
      <c r="D687" s="349" t="s">
        <v>2230</v>
      </c>
      <c r="E687" s="349" t="s">
        <v>2231</v>
      </c>
      <c r="F687" s="348" t="s">
        <v>2232</v>
      </c>
    </row>
    <row r="688" spans="1:6" ht="16.8" customHeight="1" x14ac:dyDescent="0.3">
      <c r="A688" s="285" t="str">
        <f t="shared" ca="1" si="16"/>
        <v>Etat</v>
      </c>
      <c r="B688" s="345"/>
      <c r="C688" s="349" t="s">
        <v>413</v>
      </c>
      <c r="D688" s="349" t="s">
        <v>2233</v>
      </c>
      <c r="E688" s="349" t="s">
        <v>413</v>
      </c>
      <c r="F688" s="348" t="s">
        <v>2234</v>
      </c>
    </row>
    <row r="689" spans="1:6" ht="16.8" customHeight="1" x14ac:dyDescent="0.3">
      <c r="A689" s="285" t="str">
        <f t="shared" ca="1" si="16"/>
        <v>% achevé</v>
      </c>
      <c r="B689" s="345"/>
      <c r="C689" s="349" t="s">
        <v>2235</v>
      </c>
      <c r="D689" s="349" t="s">
        <v>2236</v>
      </c>
      <c r="E689" s="349" t="s">
        <v>2237</v>
      </c>
      <c r="F689" s="348" t="s">
        <v>2238</v>
      </c>
    </row>
    <row r="690" spans="1:6" ht="16.8" customHeight="1" x14ac:dyDescent="0.3">
      <c r="A690" s="285" t="str">
        <f t="shared" ca="1" si="16"/>
        <v>Remarques</v>
      </c>
      <c r="B690" s="345"/>
      <c r="C690" s="349" t="s">
        <v>22</v>
      </c>
      <c r="D690" s="349" t="s">
        <v>128</v>
      </c>
      <c r="E690" s="349" t="s">
        <v>798</v>
      </c>
      <c r="F690" s="348" t="s">
        <v>633</v>
      </c>
    </row>
    <row r="691" spans="1:6" ht="16.8" customHeight="1" x14ac:dyDescent="0.3">
      <c r="A691" s="285" t="str">
        <f t="shared" ca="1" si="16"/>
        <v>en cours</v>
      </c>
      <c r="B691" s="345"/>
      <c r="C691" s="349" t="s">
        <v>1132</v>
      </c>
      <c r="D691" s="349" t="s">
        <v>1130</v>
      </c>
      <c r="E691" s="349" t="s">
        <v>1131</v>
      </c>
      <c r="F691" s="348" t="s">
        <v>1133</v>
      </c>
    </row>
    <row r="692" spans="1:6" ht="16.8" customHeight="1" x14ac:dyDescent="0.3">
      <c r="A692" s="285" t="str">
        <f t="shared" ca="1" si="16"/>
        <v>terminée</v>
      </c>
      <c r="B692" s="345"/>
      <c r="C692" s="349" t="s">
        <v>2239</v>
      </c>
      <c r="D692" s="349" t="s">
        <v>2240</v>
      </c>
      <c r="E692" s="349" t="s">
        <v>2241</v>
      </c>
      <c r="F692" s="348" t="s">
        <v>2242</v>
      </c>
    </row>
    <row r="693" spans="1:6" ht="16.8" customHeight="1" x14ac:dyDescent="0.3">
      <c r="A693" s="285" t="str">
        <f t="shared" ca="1" si="16"/>
        <v>reportée</v>
      </c>
      <c r="B693" s="345"/>
      <c r="C693" s="349" t="s">
        <v>2243</v>
      </c>
      <c r="D693" s="349" t="s">
        <v>2244</v>
      </c>
      <c r="E693" s="349" t="s">
        <v>2245</v>
      </c>
      <c r="F693" s="348" t="s">
        <v>2246</v>
      </c>
    </row>
    <row r="694" spans="1:6" ht="16.8" customHeight="1" x14ac:dyDescent="0.3">
      <c r="A694" s="285" t="str">
        <f t="shared" ca="1" si="16"/>
        <v>Tâche</v>
      </c>
      <c r="B694" s="345"/>
      <c r="C694" s="348" t="s">
        <v>2247</v>
      </c>
      <c r="D694" s="348" t="s">
        <v>2248</v>
      </c>
      <c r="E694" s="350" t="s">
        <v>2249</v>
      </c>
      <c r="F694" s="349" t="s">
        <v>1850</v>
      </c>
    </row>
    <row r="695" spans="1:6" ht="16.8" customHeight="1" x14ac:dyDescent="0.3">
      <c r="A695" s="285" t="str">
        <f t="shared" ca="1" si="16"/>
        <v>Projet</v>
      </c>
      <c r="B695" s="345"/>
      <c r="C695" s="348" t="s">
        <v>2250</v>
      </c>
      <c r="D695" s="349" t="s">
        <v>2251</v>
      </c>
      <c r="E695" s="350" t="s">
        <v>2252</v>
      </c>
      <c r="F695" s="349" t="s">
        <v>576</v>
      </c>
    </row>
    <row r="696" spans="1:6" ht="16.8" customHeight="1" x14ac:dyDescent="0.3">
      <c r="A696" s="285" t="str">
        <f t="shared" ca="1" si="16"/>
        <v>Décision</v>
      </c>
      <c r="B696" s="345"/>
      <c r="C696" s="349" t="s">
        <v>2253</v>
      </c>
      <c r="D696" s="349" t="s">
        <v>1717</v>
      </c>
      <c r="E696" s="349" t="s">
        <v>1718</v>
      </c>
      <c r="F696" s="348" t="s">
        <v>1719</v>
      </c>
    </row>
    <row r="697" spans="1:6" x14ac:dyDescent="0.3">
      <c r="A697" s="285">
        <f t="shared" ref="A697:A717" ca="1" si="17">OFFSET($C697,0,$B$4-1)</f>
        <v>0</v>
      </c>
      <c r="B697" s="284"/>
      <c r="C697" s="217"/>
      <c r="D697" s="217"/>
      <c r="E697" s="217"/>
      <c r="F697" s="218"/>
    </row>
    <row r="698" spans="1:6" x14ac:dyDescent="0.3">
      <c r="A698" s="285">
        <f t="shared" ca="1" si="17"/>
        <v>0</v>
      </c>
      <c r="B698" s="284"/>
      <c r="C698" s="217"/>
      <c r="D698" s="217"/>
      <c r="E698" s="217"/>
      <c r="F698" s="218"/>
    </row>
    <row r="699" spans="1:6" x14ac:dyDescent="0.3">
      <c r="A699" s="285">
        <f t="shared" ca="1" si="17"/>
        <v>0</v>
      </c>
      <c r="B699" s="284"/>
      <c r="C699" s="217"/>
      <c r="D699" s="217"/>
      <c r="E699" s="217"/>
      <c r="F699" s="218"/>
    </row>
    <row r="700" spans="1:6" x14ac:dyDescent="0.3">
      <c r="A700" s="285">
        <f t="shared" ca="1" si="17"/>
        <v>0</v>
      </c>
      <c r="B700" s="284"/>
      <c r="C700" s="217"/>
      <c r="D700" s="217"/>
      <c r="E700" s="217"/>
      <c r="F700" s="218"/>
    </row>
    <row r="701" spans="1:6" x14ac:dyDescent="0.3">
      <c r="A701" s="285">
        <f t="shared" ca="1" si="17"/>
        <v>0</v>
      </c>
      <c r="B701" s="284"/>
      <c r="C701" s="217"/>
      <c r="D701" s="217"/>
      <c r="E701" s="217"/>
      <c r="F701" s="218"/>
    </row>
    <row r="702" spans="1:6" x14ac:dyDescent="0.3">
      <c r="A702" s="285">
        <f t="shared" ca="1" si="17"/>
        <v>0</v>
      </c>
      <c r="B702" s="284"/>
      <c r="C702" s="217"/>
      <c r="D702" s="217"/>
      <c r="E702" s="217"/>
      <c r="F702" s="218"/>
    </row>
    <row r="703" spans="1:6" x14ac:dyDescent="0.3">
      <c r="A703" s="285">
        <f t="shared" ca="1" si="17"/>
        <v>0</v>
      </c>
      <c r="B703" s="284"/>
      <c r="C703" s="217"/>
      <c r="D703" s="217"/>
      <c r="E703" s="217"/>
      <c r="F703" s="218"/>
    </row>
    <row r="704" spans="1:6" x14ac:dyDescent="0.3">
      <c r="A704" s="285">
        <f t="shared" ca="1" si="17"/>
        <v>0</v>
      </c>
      <c r="B704" s="284"/>
      <c r="C704" s="217"/>
      <c r="D704" s="217"/>
      <c r="E704" s="217"/>
      <c r="F704" s="218"/>
    </row>
    <row r="705" spans="1:6" x14ac:dyDescent="0.3">
      <c r="A705" s="285">
        <f t="shared" ca="1" si="17"/>
        <v>0</v>
      </c>
      <c r="B705" s="284"/>
      <c r="C705" s="217"/>
      <c r="D705" s="217"/>
      <c r="E705" s="217"/>
      <c r="F705" s="218"/>
    </row>
    <row r="706" spans="1:6" x14ac:dyDescent="0.3">
      <c r="A706" s="285">
        <f t="shared" ca="1" si="17"/>
        <v>0</v>
      </c>
    </row>
    <row r="707" spans="1:6" x14ac:dyDescent="0.3">
      <c r="A707" s="285">
        <f t="shared" ca="1" si="17"/>
        <v>0</v>
      </c>
    </row>
    <row r="708" spans="1:6" x14ac:dyDescent="0.3">
      <c r="A708" s="285">
        <f t="shared" ca="1" si="17"/>
        <v>0</v>
      </c>
    </row>
    <row r="709" spans="1:6" x14ac:dyDescent="0.3">
      <c r="A709" s="285">
        <f t="shared" ca="1" si="17"/>
        <v>0</v>
      </c>
    </row>
    <row r="710" spans="1:6" x14ac:dyDescent="0.3">
      <c r="A710" s="285">
        <f t="shared" ca="1" si="17"/>
        <v>0</v>
      </c>
    </row>
    <row r="711" spans="1:6" x14ac:dyDescent="0.3">
      <c r="A711" s="285">
        <f t="shared" ca="1" si="17"/>
        <v>0</v>
      </c>
    </row>
    <row r="712" spans="1:6" x14ac:dyDescent="0.3">
      <c r="A712" s="285">
        <f t="shared" ca="1" si="17"/>
        <v>0</v>
      </c>
    </row>
    <row r="713" spans="1:6" x14ac:dyDescent="0.3">
      <c r="A713" s="285">
        <f t="shared" ca="1" si="17"/>
        <v>0</v>
      </c>
    </row>
    <row r="714" spans="1:6" x14ac:dyDescent="0.3">
      <c r="A714" s="285">
        <f t="shared" ca="1" si="17"/>
        <v>0</v>
      </c>
    </row>
    <row r="715" spans="1:6" x14ac:dyDescent="0.3">
      <c r="A715" s="285">
        <f t="shared" ca="1" si="17"/>
        <v>0</v>
      </c>
    </row>
    <row r="716" spans="1:6" x14ac:dyDescent="0.3">
      <c r="A716" s="285">
        <f t="shared" ca="1" si="17"/>
        <v>0</v>
      </c>
    </row>
    <row r="717" spans="1:6" x14ac:dyDescent="0.3">
      <c r="A717" s="285">
        <f t="shared" ca="1" si="17"/>
        <v>0</v>
      </c>
    </row>
    <row r="762" spans="1:1" x14ac:dyDescent="0.3">
      <c r="A762" s="285">
        <f t="shared" ref="A762:A793" ca="1" si="18">OFFSET($C762,0,$B$4-1)</f>
        <v>0</v>
      </c>
    </row>
    <row r="763" spans="1:1" x14ac:dyDescent="0.3">
      <c r="A763" s="285">
        <f t="shared" ca="1" si="18"/>
        <v>0</v>
      </c>
    </row>
    <row r="764" spans="1:1" x14ac:dyDescent="0.3">
      <c r="A764" s="285">
        <f t="shared" ca="1" si="18"/>
        <v>0</v>
      </c>
    </row>
    <row r="765" spans="1:1" x14ac:dyDescent="0.3">
      <c r="A765" s="285">
        <f t="shared" ca="1" si="18"/>
        <v>0</v>
      </c>
    </row>
    <row r="766" spans="1:1" x14ac:dyDescent="0.3">
      <c r="A766" s="285">
        <f t="shared" ca="1" si="18"/>
        <v>0</v>
      </c>
    </row>
    <row r="767" spans="1:1" x14ac:dyDescent="0.3">
      <c r="A767" s="285">
        <f t="shared" ca="1" si="18"/>
        <v>0</v>
      </c>
    </row>
    <row r="768" spans="1:1" x14ac:dyDescent="0.3">
      <c r="A768" s="285">
        <f t="shared" ca="1" si="18"/>
        <v>0</v>
      </c>
    </row>
    <row r="769" spans="1:1" x14ac:dyDescent="0.3">
      <c r="A769" s="285">
        <f t="shared" ca="1" si="18"/>
        <v>0</v>
      </c>
    </row>
    <row r="770" spans="1:1" x14ac:dyDescent="0.3">
      <c r="A770" s="285">
        <f t="shared" ca="1" si="18"/>
        <v>0</v>
      </c>
    </row>
    <row r="771" spans="1:1" x14ac:dyDescent="0.3">
      <c r="A771" s="285">
        <f t="shared" ca="1" si="18"/>
        <v>0</v>
      </c>
    </row>
    <row r="772" spans="1:1" x14ac:dyDescent="0.3">
      <c r="A772" s="285">
        <f t="shared" ca="1" si="18"/>
        <v>0</v>
      </c>
    </row>
    <row r="773" spans="1:1" x14ac:dyDescent="0.3">
      <c r="A773" s="285">
        <f t="shared" ca="1" si="18"/>
        <v>0</v>
      </c>
    </row>
    <row r="774" spans="1:1" x14ac:dyDescent="0.3">
      <c r="A774" s="285">
        <f t="shared" ca="1" si="18"/>
        <v>0</v>
      </c>
    </row>
    <row r="775" spans="1:1" x14ac:dyDescent="0.3">
      <c r="A775" s="285">
        <f t="shared" ca="1" si="18"/>
        <v>0</v>
      </c>
    </row>
    <row r="776" spans="1:1" x14ac:dyDescent="0.3">
      <c r="A776" s="285">
        <f t="shared" ca="1" si="18"/>
        <v>0</v>
      </c>
    </row>
    <row r="777" spans="1:1" x14ac:dyDescent="0.3">
      <c r="A777" s="285">
        <f t="shared" ca="1" si="18"/>
        <v>0</v>
      </c>
    </row>
    <row r="778" spans="1:1" x14ac:dyDescent="0.3">
      <c r="A778" s="285">
        <f t="shared" ca="1" si="18"/>
        <v>0</v>
      </c>
    </row>
    <row r="779" spans="1:1" x14ac:dyDescent="0.3">
      <c r="A779" s="285">
        <f t="shared" ca="1" si="18"/>
        <v>0</v>
      </c>
    </row>
    <row r="780" spans="1:1" x14ac:dyDescent="0.3">
      <c r="A780" s="285">
        <f t="shared" ca="1" si="18"/>
        <v>0</v>
      </c>
    </row>
    <row r="781" spans="1:1" x14ac:dyDescent="0.3">
      <c r="A781" s="285">
        <f t="shared" ca="1" si="18"/>
        <v>0</v>
      </c>
    </row>
    <row r="782" spans="1:1" x14ac:dyDescent="0.3">
      <c r="A782" s="285">
        <f t="shared" ca="1" si="18"/>
        <v>0</v>
      </c>
    </row>
    <row r="783" spans="1:1" x14ac:dyDescent="0.3">
      <c r="A783" s="285">
        <f t="shared" ca="1" si="18"/>
        <v>0</v>
      </c>
    </row>
    <row r="784" spans="1:1" x14ac:dyDescent="0.3">
      <c r="A784" s="285">
        <f t="shared" ca="1" si="18"/>
        <v>0</v>
      </c>
    </row>
    <row r="785" spans="1:1" x14ac:dyDescent="0.3">
      <c r="A785" s="285">
        <f t="shared" ca="1" si="18"/>
        <v>0</v>
      </c>
    </row>
    <row r="786" spans="1:1" x14ac:dyDescent="0.3">
      <c r="A786" s="285">
        <f t="shared" ca="1" si="18"/>
        <v>0</v>
      </c>
    </row>
    <row r="787" spans="1:1" x14ac:dyDescent="0.3">
      <c r="A787" s="285">
        <f t="shared" ca="1" si="18"/>
        <v>0</v>
      </c>
    </row>
    <row r="788" spans="1:1" x14ac:dyDescent="0.3">
      <c r="A788" s="285">
        <f t="shared" ca="1" si="18"/>
        <v>0</v>
      </c>
    </row>
    <row r="789" spans="1:1" x14ac:dyDescent="0.3">
      <c r="A789" s="285">
        <f t="shared" ca="1" si="18"/>
        <v>0</v>
      </c>
    </row>
    <row r="790" spans="1:1" x14ac:dyDescent="0.3">
      <c r="A790" s="285">
        <f t="shared" ca="1" si="18"/>
        <v>0</v>
      </c>
    </row>
    <row r="791" spans="1:1" x14ac:dyDescent="0.3">
      <c r="A791" s="285">
        <f t="shared" ca="1" si="18"/>
        <v>0</v>
      </c>
    </row>
    <row r="792" spans="1:1" x14ac:dyDescent="0.3">
      <c r="A792" s="285">
        <f t="shared" ca="1" si="18"/>
        <v>0</v>
      </c>
    </row>
    <row r="793" spans="1:1" x14ac:dyDescent="0.3">
      <c r="A793" s="285">
        <f t="shared" ca="1" si="18"/>
        <v>0</v>
      </c>
    </row>
    <row r="794" spans="1:1" x14ac:dyDescent="0.3">
      <c r="A794" s="285">
        <f t="shared" ref="A794:A811" ca="1" si="19">OFFSET($C794,0,$B$4-1)</f>
        <v>0</v>
      </c>
    </row>
    <row r="795" spans="1:1" x14ac:dyDescent="0.3">
      <c r="A795" s="285">
        <f t="shared" ca="1" si="19"/>
        <v>0</v>
      </c>
    </row>
    <row r="796" spans="1:1" x14ac:dyDescent="0.3">
      <c r="A796" s="285">
        <f t="shared" ca="1" si="19"/>
        <v>0</v>
      </c>
    </row>
    <row r="797" spans="1:1" x14ac:dyDescent="0.3">
      <c r="A797" s="285">
        <f t="shared" ca="1" si="19"/>
        <v>0</v>
      </c>
    </row>
    <row r="798" spans="1:1" x14ac:dyDescent="0.3">
      <c r="A798" s="285">
        <f t="shared" ca="1" si="19"/>
        <v>0</v>
      </c>
    </row>
    <row r="799" spans="1:1" x14ac:dyDescent="0.3">
      <c r="A799" s="285">
        <f t="shared" ca="1" si="19"/>
        <v>0</v>
      </c>
    </row>
    <row r="800" spans="1:1" x14ac:dyDescent="0.3">
      <c r="A800" s="285">
        <f t="shared" ca="1" si="19"/>
        <v>0</v>
      </c>
    </row>
    <row r="801" spans="1:1" x14ac:dyDescent="0.3">
      <c r="A801" s="285">
        <f t="shared" ca="1" si="19"/>
        <v>0</v>
      </c>
    </row>
    <row r="802" spans="1:1" x14ac:dyDescent="0.3">
      <c r="A802" s="285">
        <f t="shared" ca="1" si="19"/>
        <v>0</v>
      </c>
    </row>
    <row r="803" spans="1:1" x14ac:dyDescent="0.3">
      <c r="A803" s="285">
        <f t="shared" ca="1" si="19"/>
        <v>0</v>
      </c>
    </row>
    <row r="804" spans="1:1" x14ac:dyDescent="0.3">
      <c r="A804" s="285">
        <f t="shared" ca="1" si="19"/>
        <v>0</v>
      </c>
    </row>
    <row r="805" spans="1:1" x14ac:dyDescent="0.3">
      <c r="A805" s="285">
        <f t="shared" ca="1" si="19"/>
        <v>0</v>
      </c>
    </row>
    <row r="806" spans="1:1" x14ac:dyDescent="0.3">
      <c r="A806" s="285">
        <f t="shared" ca="1" si="19"/>
        <v>0</v>
      </c>
    </row>
    <row r="807" spans="1:1" x14ac:dyDescent="0.3">
      <c r="A807" s="285">
        <f t="shared" ca="1" si="19"/>
        <v>0</v>
      </c>
    </row>
    <row r="808" spans="1:1" x14ac:dyDescent="0.3">
      <c r="A808" s="285">
        <f t="shared" ca="1" si="19"/>
        <v>0</v>
      </c>
    </row>
    <row r="809" spans="1:1" x14ac:dyDescent="0.3">
      <c r="A809" s="285">
        <f t="shared" ca="1" si="19"/>
        <v>0</v>
      </c>
    </row>
    <row r="810" spans="1:1" x14ac:dyDescent="0.3">
      <c r="A810" s="285">
        <f t="shared" ca="1" si="19"/>
        <v>0</v>
      </c>
    </row>
    <row r="811" spans="1:1" x14ac:dyDescent="0.3">
      <c r="A811" s="285">
        <f t="shared" ca="1" si="19"/>
        <v>0</v>
      </c>
    </row>
  </sheetData>
  <sheetProtection sheet="1" objects="1" scenarios="1"/>
  <dataValidations disablePrompts="1" count="1">
    <dataValidation type="custom" allowBlank="1" showInputMessage="1" showErrorMessage="1" sqref="X4 W408:W458 W762:W1650 W1667:W1048576 W694:W717 W1:W6 G391:G407 W491:W500 G501:G505 W649 W661:W665 W506:W641 W8:W390 G459:G490" xr:uid="{00000000-0002-0000-0000-000000000000}">
      <formula1>$W$1=";"</formula1>
    </dataValidation>
  </dataValidations>
  <hyperlinks>
    <hyperlink ref="A459" location="Stakeholder!A1" display="Stakeholder!A1" xr:uid="{00000000-0004-0000-0000-000000000000}"/>
  </hyperlinks>
  <pageMargins left="0.7" right="0.7" top="0.78740157499999996" bottom="0.78740157499999996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enu">
    <tabColor theme="3" tint="0.39997558519241921"/>
  </sheetPr>
  <dimension ref="B1:W94"/>
  <sheetViews>
    <sheetView showGridLines="0" showRowColHeaders="0" tabSelected="1" zoomScaleNormal="100" workbookViewId="0">
      <pane ySplit="17" topLeftCell="A95" activePane="bottomLeft" state="frozen"/>
      <selection pane="bottomLeft"/>
    </sheetView>
  </sheetViews>
  <sheetFormatPr baseColWidth="10" defaultColWidth="11.44140625" defaultRowHeight="14.4" x14ac:dyDescent="0.3"/>
  <cols>
    <col min="1" max="1" width="0.109375" style="62" customWidth="1"/>
    <col min="2" max="2" width="1.88671875" style="62" customWidth="1"/>
    <col min="3" max="3" width="4" style="62" customWidth="1"/>
    <col min="4" max="4" width="3.109375" style="62" customWidth="1"/>
    <col min="5" max="5" width="29.109375" style="62" customWidth="1"/>
    <col min="6" max="6" width="4.88671875" style="62" customWidth="1"/>
    <col min="7" max="7" width="13" style="62" customWidth="1"/>
    <col min="8" max="8" width="10.109375" style="62" customWidth="1"/>
    <col min="9" max="9" width="4.44140625" style="62" customWidth="1"/>
    <col min="10" max="10" width="3.109375" style="62" customWidth="1"/>
    <col min="11" max="11" width="14.109375" style="62" customWidth="1"/>
    <col min="12" max="12" width="13.109375" style="62" customWidth="1"/>
    <col min="13" max="13" width="17.88671875" style="62" customWidth="1"/>
    <col min="14" max="14" width="22.109375" style="62" customWidth="1"/>
    <col min="15" max="15" width="13.88671875" style="62" customWidth="1"/>
    <col min="16" max="16" width="3.109375" style="62" customWidth="1"/>
    <col min="17" max="17" width="1" style="62" hidden="1" customWidth="1"/>
    <col min="18" max="18" width="1.44140625" style="62" hidden="1" customWidth="1"/>
    <col min="19" max="20" width="2.5546875" style="62" hidden="1" customWidth="1"/>
    <col min="21" max="16384" width="11.44140625" style="62"/>
  </cols>
  <sheetData>
    <row r="1" spans="2:23" s="1" customFormat="1" ht="42" customHeight="1" x14ac:dyDescent="0.6">
      <c r="B1" s="352"/>
      <c r="C1" s="950" t="str">
        <f>IF(ISTEXT(Projektauftrag!D5),Projektauftrag!D5,"")</f>
        <v>Projet xy</v>
      </c>
      <c r="D1" s="950"/>
      <c r="E1" s="950"/>
      <c r="F1" s="950"/>
      <c r="G1" s="950"/>
      <c r="H1" s="950"/>
      <c r="I1" s="950"/>
      <c r="J1" s="950"/>
      <c r="K1" s="950"/>
      <c r="L1" s="950"/>
      <c r="M1" s="950"/>
      <c r="N1" s="948"/>
      <c r="O1" s="948"/>
      <c r="P1" s="2"/>
      <c r="Q1" s="2"/>
    </row>
    <row r="2" spans="2:23" s="1" customFormat="1" ht="2.25" customHeight="1" x14ac:dyDescent="0.3">
      <c r="B2" s="353"/>
      <c r="C2" s="354"/>
      <c r="D2" s="353"/>
      <c r="E2" s="355"/>
      <c r="F2" s="353"/>
      <c r="G2" s="355"/>
      <c r="H2" s="353"/>
      <c r="I2" s="355"/>
      <c r="J2" s="355"/>
      <c r="K2" s="355"/>
      <c r="L2" s="355"/>
      <c r="M2" s="355"/>
      <c r="N2" s="355"/>
      <c r="O2" s="356"/>
      <c r="P2" s="357"/>
    </row>
    <row r="3" spans="2:23" ht="20.100000000000001" customHeight="1" x14ac:dyDescent="0.3">
      <c r="C3" s="358">
        <f>Projektstand!E10</f>
        <v>1</v>
      </c>
      <c r="D3" s="359" t="str">
        <f ca="1">CONCATENATE(' '!A62,"  ",Projektauftrag!J5)</f>
        <v>Chef de projet :  abc def (abc)</v>
      </c>
      <c r="E3" s="73"/>
      <c r="F3" s="360"/>
      <c r="G3" s="359" t="str">
        <f ca="1">' '!A50&amp;":"</f>
        <v>Ress. internes:</v>
      </c>
      <c r="H3" s="361" t="str">
        <f>IF(Projektteam!$BM$3=TRUE,Logo!D13&amp;" "&amp;Projektauftrag!G30,Projektauftrag!G30&amp;" h")</f>
        <v>CHF 640</v>
      </c>
      <c r="I3" s="362"/>
      <c r="J3" s="363"/>
      <c r="K3" s="364" t="str">
        <f ca="1">' '!A49&amp;":"</f>
        <v>Ress. externes:</v>
      </c>
      <c r="L3" s="361" t="str">
        <f>Logo!D13&amp;" "&amp;Projektauftrag!G32</f>
        <v>CHF 0</v>
      </c>
      <c r="M3" s="364" t="str">
        <f>Projektteam!AE34&amp;" h / "&amp;ROUND(Projektteam!AD34,0)&amp;" h (Budget)"</f>
        <v>4 h / 4 h (Budget)</v>
      </c>
      <c r="N3" s="365" t="str">
        <f>Notizen!F4</f>
        <v/>
      </c>
      <c r="O3" s="366"/>
      <c r="P3" s="367"/>
      <c r="U3" s="947" t="str">
        <f>Projektteam!AK34&amp;" h / "&amp;Projektteam!AE34&amp;" h"</f>
        <v>0 h / 4 h</v>
      </c>
      <c r="V3" s="947"/>
      <c r="W3" s="947"/>
    </row>
    <row r="4" spans="2:23" ht="47.25" customHeight="1" x14ac:dyDescent="0.3">
      <c r="C4" s="358"/>
      <c r="D4" s="368"/>
      <c r="E4" s="369"/>
      <c r="F4" s="369"/>
      <c r="G4" s="370"/>
      <c r="H4" s="371"/>
      <c r="I4" s="372"/>
      <c r="J4" s="371"/>
      <c r="K4" s="373"/>
      <c r="L4" s="373"/>
      <c r="M4" s="374"/>
      <c r="N4" s="375"/>
      <c r="U4" s="376"/>
      <c r="V4" s="376"/>
      <c r="W4" s="376"/>
    </row>
    <row r="5" spans="2:23" ht="14.25" customHeight="1" x14ac:dyDescent="0.3">
      <c r="B5" s="336"/>
      <c r="D5" s="949"/>
      <c r="E5" s="949"/>
      <c r="O5" s="377"/>
    </row>
    <row r="8" spans="2:23" ht="18" x14ac:dyDescent="0.35">
      <c r="E8" s="378"/>
    </row>
    <row r="11" spans="2:23" ht="17.25" customHeight="1" x14ac:dyDescent="0.3">
      <c r="U11" s="379"/>
    </row>
    <row r="12" spans="2:23" ht="4.5" customHeight="1" x14ac:dyDescent="0.3">
      <c r="G12" s="380"/>
      <c r="H12" s="380"/>
      <c r="J12" s="380"/>
      <c r="L12" s="380"/>
    </row>
    <row r="13" spans="2:23" s="381" customFormat="1" x14ac:dyDescent="0.2">
      <c r="C13" s="382" t="s">
        <v>1705</v>
      </c>
      <c r="N13" s="383"/>
      <c r="P13" s="384" t="s">
        <v>2288</v>
      </c>
    </row>
    <row r="14" spans="2:23" ht="21" customHeight="1" x14ac:dyDescent="0.3"/>
    <row r="15" spans="2:23" ht="33.6" hidden="1" customHeight="1" x14ac:dyDescent="0.4">
      <c r="D15" s="385" t="str">
        <f ca="1">' '!A453</f>
        <v>Suivi des modifications</v>
      </c>
    </row>
    <row r="16" spans="2:23" ht="4.5" hidden="1" customHeight="1" x14ac:dyDescent="0.3"/>
    <row r="17" spans="3:16" ht="15.6" hidden="1" x14ac:dyDescent="0.3">
      <c r="D17" s="951" t="str">
        <f ca="1">' '!A456</f>
        <v>Qui?</v>
      </c>
      <c r="E17" s="951"/>
      <c r="F17" s="952" t="str">
        <f ca="1">' '!A454</f>
        <v>Date</v>
      </c>
      <c r="G17" s="952"/>
      <c r="H17" s="951" t="str">
        <f ca="1">' '!A455</f>
        <v>Changement</v>
      </c>
      <c r="I17" s="951"/>
      <c r="J17" s="951"/>
      <c r="K17" s="951"/>
      <c r="L17" s="951"/>
      <c r="M17" s="951"/>
      <c r="N17" s="951" t="str">
        <f ca="1">' '!A451</f>
        <v>Liens vers les documents</v>
      </c>
      <c r="O17" s="951"/>
      <c r="P17" s="386"/>
    </row>
    <row r="18" spans="3:16" ht="30" hidden="1" customHeight="1" x14ac:dyDescent="0.3">
      <c r="C18" s="387">
        <v>1</v>
      </c>
      <c r="D18" s="945" t="s">
        <v>2195</v>
      </c>
      <c r="E18" s="946"/>
      <c r="F18" s="953">
        <f ca="1">TODAY()</f>
        <v>46049</v>
      </c>
      <c r="G18" s="954"/>
      <c r="H18" s="945" t="s">
        <v>1174</v>
      </c>
      <c r="I18" s="955"/>
      <c r="J18" s="955"/>
      <c r="K18" s="955"/>
      <c r="L18" s="955"/>
      <c r="M18" s="955"/>
      <c r="N18" s="945" t="s">
        <v>2196</v>
      </c>
      <c r="O18" s="946"/>
      <c r="P18" s="168">
        <v>1</v>
      </c>
    </row>
    <row r="19" spans="3:16" ht="30" hidden="1" customHeight="1" x14ac:dyDescent="0.3">
      <c r="C19" s="387">
        <v>2</v>
      </c>
      <c r="D19" s="945"/>
      <c r="E19" s="946"/>
      <c r="F19" s="953"/>
      <c r="G19" s="956"/>
      <c r="H19" s="945"/>
      <c r="I19" s="955"/>
      <c r="J19" s="955"/>
      <c r="K19" s="955"/>
      <c r="L19" s="955"/>
      <c r="M19" s="955"/>
      <c r="N19" s="945"/>
      <c r="O19" s="946"/>
      <c r="P19" s="168"/>
    </row>
    <row r="20" spans="3:16" ht="30" hidden="1" customHeight="1" x14ac:dyDescent="0.3">
      <c r="C20" s="387">
        <v>3</v>
      </c>
      <c r="D20" s="945"/>
      <c r="E20" s="946"/>
      <c r="F20" s="953"/>
      <c r="G20" s="956"/>
      <c r="H20" s="945"/>
      <c r="I20" s="955"/>
      <c r="J20" s="955"/>
      <c r="K20" s="955"/>
      <c r="L20" s="955"/>
      <c r="M20" s="955"/>
      <c r="N20" s="945"/>
      <c r="O20" s="946"/>
      <c r="P20" s="168"/>
    </row>
    <row r="21" spans="3:16" ht="30" hidden="1" customHeight="1" x14ac:dyDescent="0.3">
      <c r="C21" s="387">
        <v>4</v>
      </c>
      <c r="D21" s="945"/>
      <c r="E21" s="946"/>
      <c r="F21" s="953"/>
      <c r="G21" s="956"/>
      <c r="H21" s="945"/>
      <c r="I21" s="955"/>
      <c r="J21" s="955"/>
      <c r="K21" s="955"/>
      <c r="L21" s="955"/>
      <c r="M21" s="955"/>
      <c r="N21" s="945"/>
      <c r="O21" s="946"/>
      <c r="P21" s="168"/>
    </row>
    <row r="22" spans="3:16" ht="30" hidden="1" customHeight="1" x14ac:dyDescent="0.3">
      <c r="C22" s="387">
        <v>5</v>
      </c>
      <c r="D22" s="945"/>
      <c r="E22" s="946"/>
      <c r="F22" s="953"/>
      <c r="G22" s="956"/>
      <c r="H22" s="945"/>
      <c r="I22" s="955"/>
      <c r="J22" s="955"/>
      <c r="K22" s="955"/>
      <c r="L22" s="955"/>
      <c r="M22" s="955"/>
      <c r="N22" s="945"/>
      <c r="O22" s="946"/>
      <c r="P22" s="168"/>
    </row>
    <row r="23" spans="3:16" ht="30" hidden="1" customHeight="1" x14ac:dyDescent="0.3">
      <c r="C23" s="387">
        <v>6</v>
      </c>
      <c r="D23" s="945"/>
      <c r="E23" s="946"/>
      <c r="F23" s="953"/>
      <c r="G23" s="956"/>
      <c r="H23" s="945"/>
      <c r="I23" s="955"/>
      <c r="J23" s="955"/>
      <c r="K23" s="955"/>
      <c r="L23" s="955"/>
      <c r="M23" s="955"/>
      <c r="N23" s="945"/>
      <c r="O23" s="946"/>
      <c r="P23" s="168"/>
    </row>
    <row r="24" spans="3:16" ht="30" hidden="1" customHeight="1" x14ac:dyDescent="0.3">
      <c r="C24" s="387">
        <v>7</v>
      </c>
      <c r="D24" s="945"/>
      <c r="E24" s="946"/>
      <c r="F24" s="953"/>
      <c r="G24" s="956"/>
      <c r="H24" s="945"/>
      <c r="I24" s="955"/>
      <c r="J24" s="955"/>
      <c r="K24" s="955"/>
      <c r="L24" s="955"/>
      <c r="M24" s="955"/>
      <c r="N24" s="945"/>
      <c r="O24" s="946"/>
      <c r="P24" s="168"/>
    </row>
    <row r="25" spans="3:16" ht="30" hidden="1" customHeight="1" x14ac:dyDescent="0.3">
      <c r="C25" s="387">
        <v>8</v>
      </c>
      <c r="D25" s="945"/>
      <c r="E25" s="946"/>
      <c r="F25" s="953"/>
      <c r="G25" s="956"/>
      <c r="H25" s="945"/>
      <c r="I25" s="955"/>
      <c r="J25" s="955"/>
      <c r="K25" s="955"/>
      <c r="L25" s="955"/>
      <c r="M25" s="955"/>
      <c r="N25" s="945"/>
      <c r="O25" s="946"/>
      <c r="P25" s="168"/>
    </row>
    <row r="26" spans="3:16" ht="30" hidden="1" customHeight="1" x14ac:dyDescent="0.3">
      <c r="C26" s="387">
        <v>9</v>
      </c>
      <c r="D26" s="945"/>
      <c r="E26" s="946"/>
      <c r="F26" s="953"/>
      <c r="G26" s="956"/>
      <c r="H26" s="945"/>
      <c r="I26" s="955"/>
      <c r="J26" s="955"/>
      <c r="K26" s="955"/>
      <c r="L26" s="955"/>
      <c r="M26" s="955"/>
      <c r="N26" s="945"/>
      <c r="O26" s="946"/>
      <c r="P26" s="168"/>
    </row>
    <row r="27" spans="3:16" ht="30" hidden="1" customHeight="1" x14ac:dyDescent="0.3">
      <c r="C27" s="387">
        <v>10</v>
      </c>
      <c r="D27" s="945"/>
      <c r="E27" s="946"/>
      <c r="F27" s="953"/>
      <c r="G27" s="956"/>
      <c r="H27" s="945"/>
      <c r="I27" s="955"/>
      <c r="J27" s="955"/>
      <c r="K27" s="955"/>
      <c r="L27" s="955"/>
      <c r="M27" s="955"/>
      <c r="N27" s="945"/>
      <c r="O27" s="946"/>
      <c r="P27" s="168"/>
    </row>
    <row r="28" spans="3:16" ht="30" hidden="1" customHeight="1" x14ac:dyDescent="0.3">
      <c r="C28" s="387">
        <v>11</v>
      </c>
      <c r="D28" s="945"/>
      <c r="E28" s="946"/>
      <c r="F28" s="953"/>
      <c r="G28" s="956"/>
      <c r="H28" s="945"/>
      <c r="I28" s="955"/>
      <c r="J28" s="955"/>
      <c r="K28" s="955"/>
      <c r="L28" s="955"/>
      <c r="M28" s="955"/>
      <c r="N28" s="945"/>
      <c r="O28" s="946"/>
      <c r="P28" s="168"/>
    </row>
    <row r="29" spans="3:16" ht="30" hidden="1" customHeight="1" x14ac:dyDescent="0.3">
      <c r="C29" s="387">
        <v>12</v>
      </c>
      <c r="D29" s="945"/>
      <c r="E29" s="946"/>
      <c r="F29" s="953"/>
      <c r="G29" s="956"/>
      <c r="H29" s="945"/>
      <c r="I29" s="955"/>
      <c r="J29" s="955"/>
      <c r="K29" s="955"/>
      <c r="L29" s="955"/>
      <c r="M29" s="955"/>
      <c r="N29" s="945"/>
      <c r="O29" s="946"/>
      <c r="P29" s="168"/>
    </row>
    <row r="30" spans="3:16" ht="30" hidden="1" customHeight="1" x14ac:dyDescent="0.3">
      <c r="C30" s="387">
        <v>13</v>
      </c>
      <c r="D30" s="945"/>
      <c r="E30" s="946"/>
      <c r="F30" s="953"/>
      <c r="G30" s="956"/>
      <c r="H30" s="945"/>
      <c r="I30" s="955"/>
      <c r="J30" s="955"/>
      <c r="K30" s="955"/>
      <c r="L30" s="955"/>
      <c r="M30" s="955"/>
      <c r="N30" s="945"/>
      <c r="O30" s="946"/>
      <c r="P30" s="168"/>
    </row>
    <row r="31" spans="3:16" ht="30" hidden="1" customHeight="1" x14ac:dyDescent="0.3">
      <c r="C31" s="387">
        <v>14</v>
      </c>
      <c r="D31" s="945"/>
      <c r="E31" s="946"/>
      <c r="F31" s="953"/>
      <c r="G31" s="956"/>
      <c r="H31" s="945"/>
      <c r="I31" s="955"/>
      <c r="J31" s="955"/>
      <c r="K31" s="955"/>
      <c r="L31" s="955"/>
      <c r="M31" s="955"/>
      <c r="N31" s="945"/>
      <c r="O31" s="946"/>
      <c r="P31" s="168"/>
    </row>
    <row r="32" spans="3:16" ht="30" hidden="1" customHeight="1" x14ac:dyDescent="0.3">
      <c r="C32" s="387">
        <v>15</v>
      </c>
      <c r="D32" s="945"/>
      <c r="E32" s="946"/>
      <c r="F32" s="953"/>
      <c r="G32" s="956"/>
      <c r="H32" s="945"/>
      <c r="I32" s="955"/>
      <c r="J32" s="955"/>
      <c r="K32" s="955"/>
      <c r="L32" s="955"/>
      <c r="M32" s="955"/>
      <c r="N32" s="945"/>
      <c r="O32" s="946"/>
      <c r="P32" s="168"/>
    </row>
    <row r="33" spans="3:16" ht="30" hidden="1" customHeight="1" x14ac:dyDescent="0.3">
      <c r="C33" s="387">
        <v>16</v>
      </c>
      <c r="D33" s="945"/>
      <c r="E33" s="946"/>
      <c r="F33" s="953"/>
      <c r="G33" s="956"/>
      <c r="H33" s="945"/>
      <c r="I33" s="955"/>
      <c r="J33" s="955"/>
      <c r="K33" s="955"/>
      <c r="L33" s="955"/>
      <c r="M33" s="955"/>
      <c r="N33" s="945"/>
      <c r="O33" s="946"/>
      <c r="P33" s="168"/>
    </row>
    <row r="34" spans="3:16" ht="30" hidden="1" customHeight="1" x14ac:dyDescent="0.3">
      <c r="C34" s="387">
        <v>17</v>
      </c>
      <c r="D34" s="945"/>
      <c r="E34" s="946"/>
      <c r="F34" s="953"/>
      <c r="G34" s="956"/>
      <c r="H34" s="945"/>
      <c r="I34" s="955"/>
      <c r="J34" s="955"/>
      <c r="K34" s="955"/>
      <c r="L34" s="955"/>
      <c r="M34" s="955"/>
      <c r="N34" s="945"/>
      <c r="O34" s="946"/>
      <c r="P34" s="168"/>
    </row>
    <row r="35" spans="3:16" ht="30" hidden="1" customHeight="1" x14ac:dyDescent="0.3">
      <c r="C35" s="387">
        <v>18</v>
      </c>
      <c r="D35" s="945"/>
      <c r="E35" s="946"/>
      <c r="F35" s="953"/>
      <c r="G35" s="956"/>
      <c r="H35" s="945"/>
      <c r="I35" s="955"/>
      <c r="J35" s="955"/>
      <c r="K35" s="955"/>
      <c r="L35" s="955"/>
      <c r="M35" s="955"/>
      <c r="N35" s="945"/>
      <c r="O35" s="946"/>
      <c r="P35" s="168"/>
    </row>
    <row r="36" spans="3:16" ht="30" hidden="1" customHeight="1" x14ac:dyDescent="0.3">
      <c r="C36" s="387">
        <v>19</v>
      </c>
      <c r="D36" s="945"/>
      <c r="E36" s="946"/>
      <c r="F36" s="953"/>
      <c r="G36" s="956"/>
      <c r="H36" s="945"/>
      <c r="I36" s="955"/>
      <c r="J36" s="955"/>
      <c r="K36" s="955"/>
      <c r="L36" s="955"/>
      <c r="M36" s="955"/>
      <c r="N36" s="945"/>
      <c r="O36" s="946"/>
      <c r="P36" s="168"/>
    </row>
    <row r="37" spans="3:16" ht="30" hidden="1" customHeight="1" x14ac:dyDescent="0.3">
      <c r="C37" s="387">
        <v>20</v>
      </c>
      <c r="D37" s="945"/>
      <c r="E37" s="946"/>
      <c r="F37" s="953"/>
      <c r="G37" s="956"/>
      <c r="H37" s="945"/>
      <c r="I37" s="955"/>
      <c r="J37" s="955"/>
      <c r="K37" s="955"/>
      <c r="L37" s="955"/>
      <c r="M37" s="955"/>
      <c r="N37" s="945"/>
      <c r="O37" s="946"/>
      <c r="P37" s="168"/>
    </row>
    <row r="38" spans="3:16" ht="30" hidden="1" customHeight="1" x14ac:dyDescent="0.3">
      <c r="C38" s="387">
        <v>21</v>
      </c>
      <c r="D38" s="945"/>
      <c r="E38" s="946"/>
      <c r="F38" s="953"/>
      <c r="G38" s="956"/>
      <c r="H38" s="945"/>
      <c r="I38" s="955"/>
      <c r="J38" s="955"/>
      <c r="K38" s="955"/>
      <c r="L38" s="955"/>
      <c r="M38" s="955"/>
      <c r="N38" s="945"/>
      <c r="O38" s="946"/>
      <c r="P38" s="168"/>
    </row>
    <row r="39" spans="3:16" ht="30" hidden="1" customHeight="1" x14ac:dyDescent="0.3">
      <c r="C39" s="387">
        <v>22</v>
      </c>
      <c r="D39" s="945"/>
      <c r="E39" s="946"/>
      <c r="F39" s="953"/>
      <c r="G39" s="956"/>
      <c r="H39" s="945"/>
      <c r="I39" s="955"/>
      <c r="J39" s="955"/>
      <c r="K39" s="955"/>
      <c r="L39" s="955"/>
      <c r="M39" s="955"/>
      <c r="N39" s="945"/>
      <c r="O39" s="946"/>
      <c r="P39" s="168"/>
    </row>
    <row r="40" spans="3:16" ht="30" hidden="1" customHeight="1" x14ac:dyDescent="0.3">
      <c r="C40" s="387">
        <v>23</v>
      </c>
      <c r="D40" s="945"/>
      <c r="E40" s="946"/>
      <c r="F40" s="953"/>
      <c r="G40" s="956"/>
      <c r="H40" s="945"/>
      <c r="I40" s="955"/>
      <c r="J40" s="955"/>
      <c r="K40" s="955"/>
      <c r="L40" s="955"/>
      <c r="M40" s="955"/>
      <c r="N40" s="945"/>
      <c r="O40" s="946"/>
      <c r="P40" s="168"/>
    </row>
    <row r="41" spans="3:16" ht="30" hidden="1" customHeight="1" x14ac:dyDescent="0.3">
      <c r="C41" s="387">
        <v>24</v>
      </c>
      <c r="D41" s="945"/>
      <c r="E41" s="946"/>
      <c r="F41" s="953"/>
      <c r="G41" s="956"/>
      <c r="H41" s="945"/>
      <c r="I41" s="955"/>
      <c r="J41" s="955"/>
      <c r="K41" s="955"/>
      <c r="L41" s="955"/>
      <c r="M41" s="955"/>
      <c r="N41" s="945"/>
      <c r="O41" s="946"/>
      <c r="P41" s="168"/>
    </row>
    <row r="42" spans="3:16" ht="30" hidden="1" customHeight="1" x14ac:dyDescent="0.3">
      <c r="C42" s="387">
        <v>25</v>
      </c>
      <c r="D42" s="945"/>
      <c r="E42" s="946"/>
      <c r="F42" s="953"/>
      <c r="G42" s="956"/>
      <c r="H42" s="945"/>
      <c r="I42" s="955"/>
      <c r="J42" s="955"/>
      <c r="K42" s="955"/>
      <c r="L42" s="955"/>
      <c r="M42" s="955"/>
      <c r="N42" s="945"/>
      <c r="O42" s="946"/>
      <c r="P42" s="168"/>
    </row>
    <row r="43" spans="3:16" ht="30" hidden="1" customHeight="1" x14ac:dyDescent="0.3">
      <c r="C43" s="387">
        <v>26</v>
      </c>
      <c r="D43" s="945"/>
      <c r="E43" s="946"/>
      <c r="F43" s="953"/>
      <c r="G43" s="956"/>
      <c r="H43" s="945"/>
      <c r="I43" s="955"/>
      <c r="J43" s="955"/>
      <c r="K43" s="955"/>
      <c r="L43" s="955"/>
      <c r="M43" s="955"/>
      <c r="N43" s="945"/>
      <c r="O43" s="946"/>
      <c r="P43" s="168"/>
    </row>
    <row r="44" spans="3:16" ht="30" hidden="1" customHeight="1" x14ac:dyDescent="0.3">
      <c r="C44" s="387">
        <v>27</v>
      </c>
      <c r="D44" s="945"/>
      <c r="E44" s="946"/>
      <c r="F44" s="953"/>
      <c r="G44" s="956"/>
      <c r="H44" s="945"/>
      <c r="I44" s="955"/>
      <c r="J44" s="955"/>
      <c r="K44" s="955"/>
      <c r="L44" s="955"/>
      <c r="M44" s="955"/>
      <c r="N44" s="945"/>
      <c r="O44" s="946"/>
      <c r="P44" s="168"/>
    </row>
    <row r="45" spans="3:16" ht="30" hidden="1" customHeight="1" x14ac:dyDescent="0.3">
      <c r="C45" s="387">
        <v>28</v>
      </c>
      <c r="D45" s="945"/>
      <c r="E45" s="946"/>
      <c r="F45" s="953"/>
      <c r="G45" s="956"/>
      <c r="H45" s="945"/>
      <c r="I45" s="955"/>
      <c r="J45" s="955"/>
      <c r="K45" s="955"/>
      <c r="L45" s="955"/>
      <c r="M45" s="955"/>
      <c r="N45" s="945"/>
      <c r="O45" s="946"/>
      <c r="P45" s="168"/>
    </row>
    <row r="46" spans="3:16" ht="30" hidden="1" customHeight="1" x14ac:dyDescent="0.3">
      <c r="C46" s="387">
        <v>29</v>
      </c>
      <c r="D46" s="945"/>
      <c r="E46" s="946"/>
      <c r="F46" s="953"/>
      <c r="G46" s="956"/>
      <c r="H46" s="945"/>
      <c r="I46" s="955"/>
      <c r="J46" s="955"/>
      <c r="K46" s="955"/>
      <c r="L46" s="955"/>
      <c r="M46" s="955"/>
      <c r="N46" s="945"/>
      <c r="O46" s="946"/>
      <c r="P46" s="168"/>
    </row>
    <row r="47" spans="3:16" ht="30" hidden="1" customHeight="1" x14ac:dyDescent="0.3">
      <c r="C47" s="387">
        <v>30</v>
      </c>
      <c r="D47" s="945"/>
      <c r="E47" s="946"/>
      <c r="F47" s="953"/>
      <c r="G47" s="956"/>
      <c r="H47" s="945"/>
      <c r="I47" s="955"/>
      <c r="J47" s="955"/>
      <c r="K47" s="955"/>
      <c r="L47" s="955"/>
      <c r="M47" s="955"/>
      <c r="N47" s="945"/>
      <c r="O47" s="946"/>
      <c r="P47" s="168"/>
    </row>
    <row r="48" spans="3:16" ht="30" hidden="1" customHeight="1" x14ac:dyDescent="0.3">
      <c r="C48" s="387">
        <v>31</v>
      </c>
      <c r="D48" s="945"/>
      <c r="E48" s="946"/>
      <c r="F48" s="953"/>
      <c r="G48" s="956"/>
      <c r="H48" s="945"/>
      <c r="I48" s="955"/>
      <c r="J48" s="955"/>
      <c r="K48" s="955"/>
      <c r="L48" s="955"/>
      <c r="M48" s="955"/>
      <c r="N48" s="945"/>
      <c r="O48" s="946"/>
      <c r="P48" s="168"/>
    </row>
    <row r="49" spans="3:16" ht="30" hidden="1" customHeight="1" x14ac:dyDescent="0.3">
      <c r="C49" s="387">
        <v>32</v>
      </c>
      <c r="D49" s="945"/>
      <c r="E49" s="946"/>
      <c r="F49" s="953"/>
      <c r="G49" s="956"/>
      <c r="H49" s="945"/>
      <c r="I49" s="955"/>
      <c r="J49" s="955"/>
      <c r="K49" s="955"/>
      <c r="L49" s="955"/>
      <c r="M49" s="955"/>
      <c r="N49" s="945"/>
      <c r="O49" s="946"/>
      <c r="P49" s="168"/>
    </row>
    <row r="50" spans="3:16" ht="30" hidden="1" customHeight="1" x14ac:dyDescent="0.3">
      <c r="C50" s="387">
        <v>33</v>
      </c>
      <c r="D50" s="945"/>
      <c r="E50" s="946"/>
      <c r="F50" s="953"/>
      <c r="G50" s="956"/>
      <c r="H50" s="945"/>
      <c r="I50" s="955"/>
      <c r="J50" s="955"/>
      <c r="K50" s="955"/>
      <c r="L50" s="955"/>
      <c r="M50" s="955"/>
      <c r="N50" s="945"/>
      <c r="O50" s="946"/>
      <c r="P50" s="168"/>
    </row>
    <row r="51" spans="3:16" ht="30" hidden="1" customHeight="1" x14ac:dyDescent="0.3">
      <c r="C51" s="387">
        <v>34</v>
      </c>
      <c r="D51" s="945"/>
      <c r="E51" s="946"/>
      <c r="F51" s="953"/>
      <c r="G51" s="956"/>
      <c r="H51" s="945"/>
      <c r="I51" s="955"/>
      <c r="J51" s="955"/>
      <c r="K51" s="955"/>
      <c r="L51" s="955"/>
      <c r="M51" s="955"/>
      <c r="N51" s="945"/>
      <c r="O51" s="946"/>
      <c r="P51" s="168"/>
    </row>
    <row r="52" spans="3:16" ht="30" hidden="1" customHeight="1" x14ac:dyDescent="0.3">
      <c r="C52" s="387">
        <v>35</v>
      </c>
      <c r="D52" s="945"/>
      <c r="E52" s="946"/>
      <c r="F52" s="953"/>
      <c r="G52" s="956"/>
      <c r="H52" s="945"/>
      <c r="I52" s="955"/>
      <c r="J52" s="955"/>
      <c r="K52" s="955"/>
      <c r="L52" s="955"/>
      <c r="M52" s="955"/>
      <c r="N52" s="945"/>
      <c r="O52" s="946"/>
      <c r="P52" s="168"/>
    </row>
    <row r="53" spans="3:16" ht="30" hidden="1" customHeight="1" x14ac:dyDescent="0.3">
      <c r="C53" s="387">
        <v>36</v>
      </c>
      <c r="D53" s="945"/>
      <c r="E53" s="946"/>
      <c r="F53" s="953"/>
      <c r="G53" s="956"/>
      <c r="H53" s="945"/>
      <c r="I53" s="955"/>
      <c r="J53" s="955"/>
      <c r="K53" s="955"/>
      <c r="L53" s="955"/>
      <c r="M53" s="955"/>
      <c r="N53" s="945"/>
      <c r="O53" s="946"/>
      <c r="P53" s="168"/>
    </row>
    <row r="54" spans="3:16" ht="30" hidden="1" customHeight="1" x14ac:dyDescent="0.3">
      <c r="C54" s="387">
        <v>37</v>
      </c>
      <c r="D54" s="945"/>
      <c r="E54" s="946"/>
      <c r="F54" s="953"/>
      <c r="G54" s="956"/>
      <c r="H54" s="945"/>
      <c r="I54" s="955"/>
      <c r="J54" s="955"/>
      <c r="K54" s="955"/>
      <c r="L54" s="955"/>
      <c r="M54" s="955"/>
      <c r="N54" s="945"/>
      <c r="O54" s="946"/>
      <c r="P54" s="168"/>
    </row>
    <row r="55" spans="3:16" ht="30" hidden="1" customHeight="1" x14ac:dyDescent="0.3">
      <c r="C55" s="387">
        <v>38</v>
      </c>
      <c r="D55" s="945"/>
      <c r="E55" s="946"/>
      <c r="F55" s="953"/>
      <c r="G55" s="956"/>
      <c r="H55" s="945"/>
      <c r="I55" s="955"/>
      <c r="J55" s="955"/>
      <c r="K55" s="955"/>
      <c r="L55" s="955"/>
      <c r="M55" s="955"/>
      <c r="N55" s="945"/>
      <c r="O55" s="946"/>
      <c r="P55" s="168"/>
    </row>
    <row r="56" spans="3:16" ht="30" hidden="1" customHeight="1" x14ac:dyDescent="0.3">
      <c r="C56" s="387">
        <v>39</v>
      </c>
      <c r="D56" s="945"/>
      <c r="E56" s="946"/>
      <c r="F56" s="953"/>
      <c r="G56" s="956"/>
      <c r="H56" s="945"/>
      <c r="I56" s="955"/>
      <c r="J56" s="955"/>
      <c r="K56" s="955"/>
      <c r="L56" s="955"/>
      <c r="M56" s="955"/>
      <c r="N56" s="945"/>
      <c r="O56" s="946"/>
      <c r="P56" s="168"/>
    </row>
    <row r="57" spans="3:16" ht="30" hidden="1" customHeight="1" x14ac:dyDescent="0.3">
      <c r="C57" s="387">
        <v>40</v>
      </c>
      <c r="D57" s="945"/>
      <c r="E57" s="946"/>
      <c r="F57" s="953"/>
      <c r="G57" s="956"/>
      <c r="H57" s="945"/>
      <c r="I57" s="955"/>
      <c r="J57" s="955"/>
      <c r="K57" s="955"/>
      <c r="L57" s="955"/>
      <c r="M57" s="955"/>
      <c r="N57" s="945"/>
      <c r="O57" s="946"/>
      <c r="P57" s="168"/>
    </row>
    <row r="58" spans="3:16" ht="30" hidden="1" customHeight="1" x14ac:dyDescent="0.3">
      <c r="C58" s="387">
        <v>41</v>
      </c>
      <c r="D58" s="945"/>
      <c r="E58" s="946"/>
      <c r="F58" s="953"/>
      <c r="G58" s="956"/>
      <c r="H58" s="945"/>
      <c r="I58" s="955"/>
      <c r="J58" s="955"/>
      <c r="K58" s="955"/>
      <c r="L58" s="955"/>
      <c r="M58" s="955"/>
      <c r="N58" s="945"/>
      <c r="O58" s="946"/>
      <c r="P58" s="168"/>
    </row>
    <row r="59" spans="3:16" ht="30" hidden="1" customHeight="1" x14ac:dyDescent="0.3">
      <c r="C59" s="387">
        <v>42</v>
      </c>
      <c r="D59" s="945"/>
      <c r="E59" s="946"/>
      <c r="F59" s="953"/>
      <c r="G59" s="956"/>
      <c r="H59" s="945"/>
      <c r="I59" s="955"/>
      <c r="J59" s="955"/>
      <c r="K59" s="955"/>
      <c r="L59" s="955"/>
      <c r="M59" s="955"/>
      <c r="N59" s="945"/>
      <c r="O59" s="946"/>
      <c r="P59" s="168"/>
    </row>
    <row r="60" spans="3:16" ht="30" hidden="1" customHeight="1" x14ac:dyDescent="0.3">
      <c r="C60" s="387">
        <v>43</v>
      </c>
      <c r="D60" s="945"/>
      <c r="E60" s="946"/>
      <c r="F60" s="953"/>
      <c r="G60" s="956"/>
      <c r="H60" s="945"/>
      <c r="I60" s="955"/>
      <c r="J60" s="955"/>
      <c r="K60" s="955"/>
      <c r="L60" s="955"/>
      <c r="M60" s="955"/>
      <c r="N60" s="945"/>
      <c r="O60" s="946"/>
      <c r="P60" s="168"/>
    </row>
    <row r="61" spans="3:16" ht="30" hidden="1" customHeight="1" x14ac:dyDescent="0.3">
      <c r="C61" s="387">
        <v>44</v>
      </c>
      <c r="D61" s="945"/>
      <c r="E61" s="946"/>
      <c r="F61" s="953"/>
      <c r="G61" s="956"/>
      <c r="H61" s="945"/>
      <c r="I61" s="955"/>
      <c r="J61" s="955"/>
      <c r="K61" s="955"/>
      <c r="L61" s="955"/>
      <c r="M61" s="955"/>
      <c r="N61" s="945"/>
      <c r="O61" s="946"/>
      <c r="P61" s="168"/>
    </row>
    <row r="62" spans="3:16" ht="30" hidden="1" customHeight="1" x14ac:dyDescent="0.3">
      <c r="C62" s="387">
        <v>45</v>
      </c>
      <c r="D62" s="945"/>
      <c r="E62" s="946"/>
      <c r="F62" s="953"/>
      <c r="G62" s="956"/>
      <c r="H62" s="945"/>
      <c r="I62" s="955"/>
      <c r="J62" s="955"/>
      <c r="K62" s="955"/>
      <c r="L62" s="955"/>
      <c r="M62" s="955"/>
      <c r="N62" s="945"/>
      <c r="O62" s="946"/>
      <c r="P62" s="168"/>
    </row>
    <row r="63" spans="3:16" ht="30" hidden="1" customHeight="1" x14ac:dyDescent="0.3">
      <c r="C63" s="387">
        <v>46</v>
      </c>
      <c r="D63" s="945"/>
      <c r="E63" s="946"/>
      <c r="F63" s="953"/>
      <c r="G63" s="956"/>
      <c r="H63" s="945"/>
      <c r="I63" s="955"/>
      <c r="J63" s="955"/>
      <c r="K63" s="955"/>
      <c r="L63" s="955"/>
      <c r="M63" s="955"/>
      <c r="N63" s="945"/>
      <c r="O63" s="946"/>
      <c r="P63" s="168"/>
    </row>
    <row r="64" spans="3:16" ht="30" hidden="1" customHeight="1" x14ac:dyDescent="0.3">
      <c r="C64" s="387">
        <v>47</v>
      </c>
      <c r="D64" s="945"/>
      <c r="E64" s="946"/>
      <c r="F64" s="953"/>
      <c r="G64" s="956"/>
      <c r="H64" s="945"/>
      <c r="I64" s="955"/>
      <c r="J64" s="955"/>
      <c r="K64" s="955"/>
      <c r="L64" s="955"/>
      <c r="M64" s="955"/>
      <c r="N64" s="945"/>
      <c r="O64" s="946"/>
      <c r="P64" s="168"/>
    </row>
    <row r="65" spans="3:16" ht="30" hidden="1" customHeight="1" x14ac:dyDescent="0.3">
      <c r="C65" s="387">
        <v>48</v>
      </c>
      <c r="D65" s="945"/>
      <c r="E65" s="946"/>
      <c r="F65" s="953"/>
      <c r="G65" s="956"/>
      <c r="H65" s="945"/>
      <c r="I65" s="955"/>
      <c r="J65" s="955"/>
      <c r="K65" s="955"/>
      <c r="L65" s="955"/>
      <c r="M65" s="955"/>
      <c r="N65" s="945"/>
      <c r="O65" s="946"/>
      <c r="P65" s="168"/>
    </row>
    <row r="66" spans="3:16" ht="30" hidden="1" customHeight="1" x14ac:dyDescent="0.3">
      <c r="C66" s="387">
        <v>49</v>
      </c>
      <c r="D66" s="945"/>
      <c r="E66" s="946"/>
      <c r="F66" s="953"/>
      <c r="G66" s="956"/>
      <c r="H66" s="945"/>
      <c r="I66" s="955"/>
      <c r="J66" s="955"/>
      <c r="K66" s="955"/>
      <c r="L66" s="955"/>
      <c r="M66" s="955"/>
      <c r="N66" s="945"/>
      <c r="O66" s="946"/>
      <c r="P66" s="168"/>
    </row>
    <row r="67" spans="3:16" ht="30" hidden="1" customHeight="1" x14ac:dyDescent="0.3">
      <c r="C67" s="387">
        <v>50</v>
      </c>
      <c r="D67" s="945"/>
      <c r="E67" s="946"/>
      <c r="F67" s="953"/>
      <c r="G67" s="956"/>
      <c r="H67" s="945"/>
      <c r="I67" s="955"/>
      <c r="J67" s="955"/>
      <c r="K67" s="955"/>
      <c r="L67" s="955"/>
      <c r="M67" s="955"/>
      <c r="N67" s="945"/>
      <c r="O67" s="946"/>
      <c r="P67" s="168"/>
    </row>
    <row r="68" spans="3:16" ht="30" hidden="1" customHeight="1" x14ac:dyDescent="0.3">
      <c r="C68" s="387">
        <v>51</v>
      </c>
      <c r="D68" s="945"/>
      <c r="E68" s="946"/>
      <c r="F68" s="953"/>
      <c r="G68" s="956"/>
      <c r="H68" s="945"/>
      <c r="I68" s="955"/>
      <c r="J68" s="955"/>
      <c r="K68" s="955"/>
      <c r="L68" s="955"/>
      <c r="M68" s="955"/>
      <c r="N68" s="945"/>
      <c r="O68" s="946"/>
      <c r="P68" s="168"/>
    </row>
    <row r="69" spans="3:16" ht="30" hidden="1" customHeight="1" x14ac:dyDescent="0.3">
      <c r="C69" s="387">
        <v>52</v>
      </c>
      <c r="D69" s="945"/>
      <c r="E69" s="946"/>
      <c r="F69" s="953"/>
      <c r="G69" s="956"/>
      <c r="H69" s="945"/>
      <c r="I69" s="955"/>
      <c r="J69" s="955"/>
      <c r="K69" s="955"/>
      <c r="L69" s="955"/>
      <c r="M69" s="955"/>
      <c r="N69" s="945"/>
      <c r="O69" s="946"/>
      <c r="P69" s="168"/>
    </row>
    <row r="70" spans="3:16" ht="30" hidden="1" customHeight="1" x14ac:dyDescent="0.3">
      <c r="C70" s="387">
        <v>53</v>
      </c>
      <c r="D70" s="945"/>
      <c r="E70" s="946"/>
      <c r="F70" s="953"/>
      <c r="G70" s="956"/>
      <c r="H70" s="945"/>
      <c r="I70" s="955"/>
      <c r="J70" s="955"/>
      <c r="K70" s="955"/>
      <c r="L70" s="955"/>
      <c r="M70" s="955"/>
      <c r="N70" s="945"/>
      <c r="O70" s="946"/>
      <c r="P70" s="168"/>
    </row>
    <row r="71" spans="3:16" ht="30" hidden="1" customHeight="1" x14ac:dyDescent="0.3">
      <c r="C71" s="387">
        <v>54</v>
      </c>
      <c r="D71" s="945"/>
      <c r="E71" s="946"/>
      <c r="F71" s="953"/>
      <c r="G71" s="956"/>
      <c r="H71" s="945"/>
      <c r="I71" s="955"/>
      <c r="J71" s="955"/>
      <c r="K71" s="955"/>
      <c r="L71" s="955"/>
      <c r="M71" s="955"/>
      <c r="N71" s="945"/>
      <c r="O71" s="946"/>
      <c r="P71" s="168"/>
    </row>
    <row r="72" spans="3:16" ht="30" hidden="1" customHeight="1" x14ac:dyDescent="0.3">
      <c r="C72" s="387">
        <v>55</v>
      </c>
      <c r="D72" s="945"/>
      <c r="E72" s="946"/>
      <c r="F72" s="953"/>
      <c r="G72" s="956"/>
      <c r="H72" s="945"/>
      <c r="I72" s="955"/>
      <c r="J72" s="955"/>
      <c r="K72" s="955"/>
      <c r="L72" s="955"/>
      <c r="M72" s="955"/>
      <c r="N72" s="945"/>
      <c r="O72" s="946"/>
      <c r="P72" s="168"/>
    </row>
    <row r="73" spans="3:16" ht="30" hidden="1" customHeight="1" x14ac:dyDescent="0.3">
      <c r="C73" s="387">
        <v>56</v>
      </c>
      <c r="D73" s="945"/>
      <c r="E73" s="946"/>
      <c r="F73" s="953"/>
      <c r="G73" s="956"/>
      <c r="H73" s="945"/>
      <c r="I73" s="955"/>
      <c r="J73" s="955"/>
      <c r="K73" s="955"/>
      <c r="L73" s="955"/>
      <c r="M73" s="955"/>
      <c r="N73" s="945"/>
      <c r="O73" s="946"/>
      <c r="P73" s="168"/>
    </row>
    <row r="74" spans="3:16" ht="30" hidden="1" customHeight="1" x14ac:dyDescent="0.3">
      <c r="C74" s="387">
        <v>57</v>
      </c>
      <c r="D74" s="945"/>
      <c r="E74" s="946"/>
      <c r="F74" s="953"/>
      <c r="G74" s="956"/>
      <c r="H74" s="945"/>
      <c r="I74" s="955"/>
      <c r="J74" s="955"/>
      <c r="K74" s="955"/>
      <c r="L74" s="955"/>
      <c r="M74" s="955"/>
      <c r="N74" s="945"/>
      <c r="O74" s="946"/>
      <c r="P74" s="168"/>
    </row>
    <row r="75" spans="3:16" ht="30" hidden="1" customHeight="1" x14ac:dyDescent="0.3">
      <c r="C75" s="387">
        <v>58</v>
      </c>
      <c r="D75" s="945"/>
      <c r="E75" s="946"/>
      <c r="F75" s="953"/>
      <c r="G75" s="956"/>
      <c r="H75" s="945"/>
      <c r="I75" s="955"/>
      <c r="J75" s="955"/>
      <c r="K75" s="955"/>
      <c r="L75" s="955"/>
      <c r="M75" s="955"/>
      <c r="N75" s="945"/>
      <c r="O75" s="946"/>
      <c r="P75" s="168"/>
    </row>
    <row r="76" spans="3:16" ht="30" hidden="1" customHeight="1" x14ac:dyDescent="0.3">
      <c r="C76" s="387">
        <v>59</v>
      </c>
      <c r="D76" s="945"/>
      <c r="E76" s="946"/>
      <c r="F76" s="953"/>
      <c r="G76" s="956"/>
      <c r="H76" s="945"/>
      <c r="I76" s="955"/>
      <c r="J76" s="955"/>
      <c r="K76" s="955"/>
      <c r="L76" s="955"/>
      <c r="M76" s="955"/>
      <c r="N76" s="945"/>
      <c r="O76" s="946"/>
      <c r="P76" s="168"/>
    </row>
    <row r="77" spans="3:16" ht="30" hidden="1" customHeight="1" x14ac:dyDescent="0.3">
      <c r="C77" s="387">
        <v>60</v>
      </c>
      <c r="D77" s="945"/>
      <c r="E77" s="946"/>
      <c r="F77" s="953"/>
      <c r="G77" s="956"/>
      <c r="H77" s="945"/>
      <c r="I77" s="955"/>
      <c r="J77" s="955"/>
      <c r="K77" s="955"/>
      <c r="L77" s="955"/>
      <c r="M77" s="955"/>
      <c r="N77" s="945"/>
      <c r="O77" s="946"/>
      <c r="P77" s="168"/>
    </row>
    <row r="78" spans="3:16" s="381" customFormat="1" ht="30" hidden="1" customHeight="1" x14ac:dyDescent="0.2">
      <c r="C78" s="387">
        <v>61</v>
      </c>
      <c r="D78" s="945"/>
      <c r="E78" s="946"/>
      <c r="F78" s="953"/>
      <c r="G78" s="956"/>
      <c r="H78" s="945"/>
      <c r="I78" s="955"/>
      <c r="J78" s="955"/>
      <c r="K78" s="955"/>
      <c r="L78" s="955"/>
      <c r="M78" s="955"/>
      <c r="N78" s="945"/>
      <c r="O78" s="946"/>
      <c r="P78" s="168"/>
    </row>
    <row r="79" spans="3:16" ht="30" hidden="1" customHeight="1" x14ac:dyDescent="0.3">
      <c r="C79" s="387">
        <v>62</v>
      </c>
      <c r="D79" s="945"/>
      <c r="E79" s="946"/>
      <c r="F79" s="953"/>
      <c r="G79" s="956"/>
      <c r="H79" s="945"/>
      <c r="I79" s="955"/>
      <c r="J79" s="955"/>
      <c r="K79" s="955"/>
      <c r="L79" s="955"/>
      <c r="M79" s="955"/>
      <c r="N79" s="945"/>
      <c r="O79" s="946"/>
      <c r="P79" s="168"/>
    </row>
    <row r="80" spans="3:16" ht="30" hidden="1" customHeight="1" x14ac:dyDescent="0.3">
      <c r="C80" s="387">
        <v>63</v>
      </c>
      <c r="D80" s="945"/>
      <c r="E80" s="946"/>
      <c r="F80" s="953"/>
      <c r="G80" s="956"/>
      <c r="H80" s="945"/>
      <c r="I80" s="955"/>
      <c r="J80" s="955"/>
      <c r="K80" s="955"/>
      <c r="L80" s="955"/>
      <c r="M80" s="955"/>
      <c r="N80" s="945"/>
      <c r="O80" s="946"/>
      <c r="P80" s="168"/>
    </row>
    <row r="81" spans="3:16" ht="30" hidden="1" customHeight="1" x14ac:dyDescent="0.3">
      <c r="C81" s="387">
        <v>64</v>
      </c>
      <c r="D81" s="945"/>
      <c r="E81" s="946"/>
      <c r="F81" s="953"/>
      <c r="G81" s="956"/>
      <c r="H81" s="945"/>
      <c r="I81" s="955"/>
      <c r="J81" s="955"/>
      <c r="K81" s="955"/>
      <c r="L81" s="955"/>
      <c r="M81" s="955"/>
      <c r="N81" s="945"/>
      <c r="O81" s="946"/>
      <c r="P81" s="168"/>
    </row>
    <row r="82" spans="3:16" ht="30" hidden="1" customHeight="1" x14ac:dyDescent="0.3">
      <c r="C82" s="387">
        <v>65</v>
      </c>
      <c r="D82" s="945"/>
      <c r="E82" s="946"/>
      <c r="F82" s="953"/>
      <c r="G82" s="956"/>
      <c r="H82" s="945"/>
      <c r="I82" s="955"/>
      <c r="J82" s="955"/>
      <c r="K82" s="955"/>
      <c r="L82" s="955"/>
      <c r="M82" s="955"/>
      <c r="N82" s="945"/>
      <c r="O82" s="946"/>
      <c r="P82" s="168"/>
    </row>
    <row r="83" spans="3:16" ht="30" hidden="1" customHeight="1" x14ac:dyDescent="0.3">
      <c r="C83" s="387">
        <v>66</v>
      </c>
      <c r="D83" s="945"/>
      <c r="E83" s="946"/>
      <c r="F83" s="953"/>
      <c r="G83" s="956"/>
      <c r="H83" s="945"/>
      <c r="I83" s="955"/>
      <c r="J83" s="955"/>
      <c r="K83" s="955"/>
      <c r="L83" s="955"/>
      <c r="M83" s="955"/>
      <c r="N83" s="945"/>
      <c r="O83" s="946"/>
      <c r="P83" s="168"/>
    </row>
    <row r="84" spans="3:16" ht="30" hidden="1" customHeight="1" x14ac:dyDescent="0.3">
      <c r="C84" s="387">
        <v>67</v>
      </c>
      <c r="D84" s="945"/>
      <c r="E84" s="946"/>
      <c r="F84" s="953"/>
      <c r="G84" s="956"/>
      <c r="H84" s="945"/>
      <c r="I84" s="955"/>
      <c r="J84" s="955"/>
      <c r="K84" s="955"/>
      <c r="L84" s="955"/>
      <c r="M84" s="955"/>
      <c r="N84" s="945"/>
      <c r="O84" s="946"/>
      <c r="P84" s="168"/>
    </row>
    <row r="85" spans="3:16" ht="30" hidden="1" customHeight="1" x14ac:dyDescent="0.3">
      <c r="C85" s="387">
        <v>68</v>
      </c>
      <c r="D85" s="945"/>
      <c r="E85" s="946"/>
      <c r="F85" s="953"/>
      <c r="G85" s="956"/>
      <c r="H85" s="945"/>
      <c r="I85" s="955"/>
      <c r="J85" s="955"/>
      <c r="K85" s="955"/>
      <c r="L85" s="955"/>
      <c r="M85" s="955"/>
      <c r="N85" s="945"/>
      <c r="O85" s="946"/>
      <c r="P85" s="168"/>
    </row>
    <row r="86" spans="3:16" ht="30" hidden="1" customHeight="1" x14ac:dyDescent="0.3">
      <c r="C86" s="387">
        <v>69</v>
      </c>
      <c r="D86" s="945"/>
      <c r="E86" s="946"/>
      <c r="F86" s="953"/>
      <c r="G86" s="956"/>
      <c r="H86" s="945"/>
      <c r="I86" s="955"/>
      <c r="J86" s="955"/>
      <c r="K86" s="955"/>
      <c r="L86" s="955"/>
      <c r="M86" s="955"/>
      <c r="N86" s="945"/>
      <c r="O86" s="946"/>
      <c r="P86" s="168"/>
    </row>
    <row r="87" spans="3:16" ht="30" hidden="1" customHeight="1" x14ac:dyDescent="0.3">
      <c r="C87" s="387">
        <v>70</v>
      </c>
      <c r="D87" s="945"/>
      <c r="E87" s="946"/>
      <c r="F87" s="953"/>
      <c r="G87" s="956"/>
      <c r="H87" s="945"/>
      <c r="I87" s="955"/>
      <c r="J87" s="955"/>
      <c r="K87" s="955"/>
      <c r="L87" s="955"/>
      <c r="M87" s="955"/>
      <c r="N87" s="945"/>
      <c r="O87" s="946"/>
      <c r="P87" s="168"/>
    </row>
    <row r="88" spans="3:16" ht="30" hidden="1" customHeight="1" x14ac:dyDescent="0.3">
      <c r="C88" s="387">
        <v>71</v>
      </c>
      <c r="D88" s="945"/>
      <c r="E88" s="946"/>
      <c r="F88" s="953"/>
      <c r="G88" s="956"/>
      <c r="H88" s="945"/>
      <c r="I88" s="955"/>
      <c r="J88" s="955"/>
      <c r="K88" s="955"/>
      <c r="L88" s="955"/>
      <c r="M88" s="955"/>
      <c r="N88" s="945"/>
      <c r="O88" s="946"/>
      <c r="P88" s="168"/>
    </row>
    <row r="89" spans="3:16" ht="30" hidden="1" customHeight="1" x14ac:dyDescent="0.3">
      <c r="C89" s="387">
        <v>72</v>
      </c>
      <c r="D89" s="945"/>
      <c r="E89" s="946"/>
      <c r="F89" s="953"/>
      <c r="G89" s="956"/>
      <c r="H89" s="945"/>
      <c r="I89" s="955"/>
      <c r="J89" s="955"/>
      <c r="K89" s="955"/>
      <c r="L89" s="955"/>
      <c r="M89" s="955"/>
      <c r="N89" s="945"/>
      <c r="O89" s="946"/>
      <c r="P89" s="168"/>
    </row>
    <row r="90" spans="3:16" ht="30" hidden="1" customHeight="1" x14ac:dyDescent="0.3">
      <c r="C90" s="387">
        <v>73</v>
      </c>
      <c r="D90" s="945"/>
      <c r="E90" s="946"/>
      <c r="F90" s="953"/>
      <c r="G90" s="956"/>
      <c r="H90" s="945"/>
      <c r="I90" s="955"/>
      <c r="J90" s="955"/>
      <c r="K90" s="955"/>
      <c r="L90" s="955"/>
      <c r="M90" s="955"/>
      <c r="N90" s="945"/>
      <c r="O90" s="946"/>
      <c r="P90" s="168"/>
    </row>
    <row r="91" spans="3:16" ht="30" hidden="1" customHeight="1" x14ac:dyDescent="0.3">
      <c r="C91" s="387">
        <v>74</v>
      </c>
      <c r="D91" s="945"/>
      <c r="E91" s="946"/>
      <c r="F91" s="953"/>
      <c r="G91" s="956"/>
      <c r="H91" s="945"/>
      <c r="I91" s="955"/>
      <c r="J91" s="955"/>
      <c r="K91" s="955"/>
      <c r="L91" s="955"/>
      <c r="M91" s="955"/>
      <c r="N91" s="945"/>
      <c r="O91" s="946"/>
      <c r="P91" s="168"/>
    </row>
    <row r="92" spans="3:16" ht="30" hidden="1" customHeight="1" x14ac:dyDescent="0.3">
      <c r="C92" s="387">
        <v>75</v>
      </c>
      <c r="D92" s="945"/>
      <c r="E92" s="946"/>
      <c r="F92" s="953"/>
      <c r="G92" s="956"/>
      <c r="H92" s="945"/>
      <c r="I92" s="955"/>
      <c r="J92" s="955"/>
      <c r="K92" s="955"/>
      <c r="L92" s="955"/>
      <c r="M92" s="955"/>
      <c r="N92" s="945"/>
      <c r="O92" s="946"/>
      <c r="P92" s="168"/>
    </row>
    <row r="93" spans="3:16" hidden="1" x14ac:dyDescent="0.3">
      <c r="C93" s="388" t="s">
        <v>1706</v>
      </c>
    </row>
    <row r="94" spans="3:16" hidden="1" x14ac:dyDescent="0.3"/>
  </sheetData>
  <sheetProtection sheet="1" objects="1" scenarios="1" formatCells="0" formatColumns="0" formatRows="0" insertHyperlinks="0" sort="0" autoFilter="0"/>
  <autoFilter ref="D17:P17" xr:uid="{00000000-0001-0000-0600-000000000000}">
    <filterColumn colId="0" showButton="0"/>
    <filterColumn colId="2" showButton="0"/>
    <filterColumn colId="4" showButton="0"/>
    <filterColumn colId="5" showButton="0"/>
    <filterColumn colId="6" showButton="0"/>
    <filterColumn colId="7" showButton="0"/>
    <filterColumn colId="8" showButton="0"/>
    <filterColumn colId="10" showButton="0"/>
  </autoFilter>
  <mergeCells count="308">
    <mergeCell ref="D90:E90"/>
    <mergeCell ref="F90:G90"/>
    <mergeCell ref="H90:M90"/>
    <mergeCell ref="N90:O90"/>
    <mergeCell ref="D91:E91"/>
    <mergeCell ref="F91:G91"/>
    <mergeCell ref="H91:M91"/>
    <mergeCell ref="N91:O91"/>
    <mergeCell ref="D92:E92"/>
    <mergeCell ref="F92:G92"/>
    <mergeCell ref="H92:M92"/>
    <mergeCell ref="N92:O92"/>
    <mergeCell ref="D87:E87"/>
    <mergeCell ref="F87:G87"/>
    <mergeCell ref="H87:M87"/>
    <mergeCell ref="N87:O87"/>
    <mergeCell ref="D88:E88"/>
    <mergeCell ref="F88:G88"/>
    <mergeCell ref="H88:M88"/>
    <mergeCell ref="N88:O88"/>
    <mergeCell ref="D89:E89"/>
    <mergeCell ref="F89:G89"/>
    <mergeCell ref="H89:M89"/>
    <mergeCell ref="N89:O89"/>
    <mergeCell ref="D84:E84"/>
    <mergeCell ref="F84:G84"/>
    <mergeCell ref="H84:M84"/>
    <mergeCell ref="N84:O84"/>
    <mergeCell ref="D85:E85"/>
    <mergeCell ref="F85:G85"/>
    <mergeCell ref="H85:M85"/>
    <mergeCell ref="N85:O85"/>
    <mergeCell ref="D86:E86"/>
    <mergeCell ref="F86:G86"/>
    <mergeCell ref="H86:M86"/>
    <mergeCell ref="N86:O86"/>
    <mergeCell ref="D81:E81"/>
    <mergeCell ref="F81:G81"/>
    <mergeCell ref="H81:M81"/>
    <mergeCell ref="N81:O81"/>
    <mergeCell ref="D82:E82"/>
    <mergeCell ref="F82:G82"/>
    <mergeCell ref="H82:M82"/>
    <mergeCell ref="N82:O82"/>
    <mergeCell ref="D83:E83"/>
    <mergeCell ref="F83:G83"/>
    <mergeCell ref="H83:M83"/>
    <mergeCell ref="N83:O83"/>
    <mergeCell ref="D78:E78"/>
    <mergeCell ref="F78:G78"/>
    <mergeCell ref="H78:M78"/>
    <mergeCell ref="N78:O78"/>
    <mergeCell ref="D79:E79"/>
    <mergeCell ref="F79:G79"/>
    <mergeCell ref="H79:M79"/>
    <mergeCell ref="N79:O79"/>
    <mergeCell ref="D80:E80"/>
    <mergeCell ref="F80:G80"/>
    <mergeCell ref="H80:M80"/>
    <mergeCell ref="N80:O80"/>
    <mergeCell ref="H24:M24"/>
    <mergeCell ref="N24:O24"/>
    <mergeCell ref="H25:M25"/>
    <mergeCell ref="N25:O25"/>
    <mergeCell ref="H26:M26"/>
    <mergeCell ref="N26:O26"/>
    <mergeCell ref="H27:M27"/>
    <mergeCell ref="N27:O27"/>
    <mergeCell ref="H28:M28"/>
    <mergeCell ref="N28:O28"/>
    <mergeCell ref="H19:M19"/>
    <mergeCell ref="N19:O19"/>
    <mergeCell ref="H20:M20"/>
    <mergeCell ref="N20:O20"/>
    <mergeCell ref="H21:M21"/>
    <mergeCell ref="N21:O21"/>
    <mergeCell ref="H22:M22"/>
    <mergeCell ref="N22:O22"/>
    <mergeCell ref="H23:M23"/>
    <mergeCell ref="N23:O23"/>
    <mergeCell ref="D77:E77"/>
    <mergeCell ref="F77:G77"/>
    <mergeCell ref="D75:E75"/>
    <mergeCell ref="F75:G75"/>
    <mergeCell ref="D76:E76"/>
    <mergeCell ref="F76:G76"/>
    <mergeCell ref="H75:M75"/>
    <mergeCell ref="N75:O75"/>
    <mergeCell ref="H76:M76"/>
    <mergeCell ref="N76:O76"/>
    <mergeCell ref="H77:M77"/>
    <mergeCell ref="N77:O77"/>
    <mergeCell ref="N71:O71"/>
    <mergeCell ref="H72:M72"/>
    <mergeCell ref="N72:O72"/>
    <mergeCell ref="H73:M73"/>
    <mergeCell ref="N73:O73"/>
    <mergeCell ref="H74:M74"/>
    <mergeCell ref="N74:O74"/>
    <mergeCell ref="D69:E69"/>
    <mergeCell ref="F69:G69"/>
    <mergeCell ref="D70:E70"/>
    <mergeCell ref="F70:G70"/>
    <mergeCell ref="H70:M70"/>
    <mergeCell ref="N70:O70"/>
    <mergeCell ref="D73:E73"/>
    <mergeCell ref="F73:G73"/>
    <mergeCell ref="D74:E74"/>
    <mergeCell ref="F74:G74"/>
    <mergeCell ref="D71:E71"/>
    <mergeCell ref="F71:G71"/>
    <mergeCell ref="D72:E72"/>
    <mergeCell ref="F72:G72"/>
    <mergeCell ref="H71:M71"/>
    <mergeCell ref="D67:E67"/>
    <mergeCell ref="F67:G67"/>
    <mergeCell ref="D68:E68"/>
    <mergeCell ref="F68:G68"/>
    <mergeCell ref="H67:M67"/>
    <mergeCell ref="N67:O67"/>
    <mergeCell ref="H68:M68"/>
    <mergeCell ref="N68:O68"/>
    <mergeCell ref="H69:M69"/>
    <mergeCell ref="N69:O69"/>
    <mergeCell ref="N63:O63"/>
    <mergeCell ref="H64:M64"/>
    <mergeCell ref="N64:O64"/>
    <mergeCell ref="H65:M65"/>
    <mergeCell ref="N65:O65"/>
    <mergeCell ref="H66:M66"/>
    <mergeCell ref="N66:O66"/>
    <mergeCell ref="D61:E61"/>
    <mergeCell ref="F61:G61"/>
    <mergeCell ref="D62:E62"/>
    <mergeCell ref="F62:G62"/>
    <mergeCell ref="H62:M62"/>
    <mergeCell ref="N62:O62"/>
    <mergeCell ref="D65:E65"/>
    <mergeCell ref="F65:G65"/>
    <mergeCell ref="D66:E66"/>
    <mergeCell ref="F66:G66"/>
    <mergeCell ref="D63:E63"/>
    <mergeCell ref="F63:G63"/>
    <mergeCell ref="D64:E64"/>
    <mergeCell ref="F64:G64"/>
    <mergeCell ref="H63:M63"/>
    <mergeCell ref="D59:E59"/>
    <mergeCell ref="F59:G59"/>
    <mergeCell ref="D60:E60"/>
    <mergeCell ref="F60:G60"/>
    <mergeCell ref="H59:M59"/>
    <mergeCell ref="N59:O59"/>
    <mergeCell ref="H60:M60"/>
    <mergeCell ref="N60:O60"/>
    <mergeCell ref="H61:M61"/>
    <mergeCell ref="N61:O61"/>
    <mergeCell ref="N55:O55"/>
    <mergeCell ref="H56:M56"/>
    <mergeCell ref="N56:O56"/>
    <mergeCell ref="H57:M57"/>
    <mergeCell ref="N57:O57"/>
    <mergeCell ref="H58:M58"/>
    <mergeCell ref="N58:O58"/>
    <mergeCell ref="D53:E53"/>
    <mergeCell ref="F53:G53"/>
    <mergeCell ref="D54:E54"/>
    <mergeCell ref="F54:G54"/>
    <mergeCell ref="H54:M54"/>
    <mergeCell ref="N54:O54"/>
    <mergeCell ref="D57:E57"/>
    <mergeCell ref="F57:G57"/>
    <mergeCell ref="D58:E58"/>
    <mergeCell ref="F58:G58"/>
    <mergeCell ref="D55:E55"/>
    <mergeCell ref="F55:G55"/>
    <mergeCell ref="D56:E56"/>
    <mergeCell ref="F56:G56"/>
    <mergeCell ref="H55:M55"/>
    <mergeCell ref="D51:E51"/>
    <mergeCell ref="F51:G51"/>
    <mergeCell ref="D52:E52"/>
    <mergeCell ref="F52:G52"/>
    <mergeCell ref="H51:M51"/>
    <mergeCell ref="N51:O51"/>
    <mergeCell ref="H52:M52"/>
    <mergeCell ref="N52:O52"/>
    <mergeCell ref="H53:M53"/>
    <mergeCell ref="N53:O53"/>
    <mergeCell ref="N47:O47"/>
    <mergeCell ref="H48:M48"/>
    <mergeCell ref="N48:O48"/>
    <mergeCell ref="H49:M49"/>
    <mergeCell ref="N49:O49"/>
    <mergeCell ref="H50:M50"/>
    <mergeCell ref="N50:O50"/>
    <mergeCell ref="D45:E45"/>
    <mergeCell ref="F45:G45"/>
    <mergeCell ref="D46:E46"/>
    <mergeCell ref="F46:G46"/>
    <mergeCell ref="H46:M46"/>
    <mergeCell ref="N46:O46"/>
    <mergeCell ref="D49:E49"/>
    <mergeCell ref="F49:G49"/>
    <mergeCell ref="D50:E50"/>
    <mergeCell ref="F50:G50"/>
    <mergeCell ref="D47:E47"/>
    <mergeCell ref="F47:G47"/>
    <mergeCell ref="D48:E48"/>
    <mergeCell ref="F48:G48"/>
    <mergeCell ref="H47:M47"/>
    <mergeCell ref="D43:E43"/>
    <mergeCell ref="F43:G43"/>
    <mergeCell ref="D44:E44"/>
    <mergeCell ref="F44:G44"/>
    <mergeCell ref="H43:M43"/>
    <mergeCell ref="N43:O43"/>
    <mergeCell ref="H44:M44"/>
    <mergeCell ref="N44:O44"/>
    <mergeCell ref="H45:M45"/>
    <mergeCell ref="N45:O45"/>
    <mergeCell ref="N39:O39"/>
    <mergeCell ref="H40:M40"/>
    <mergeCell ref="N40:O40"/>
    <mergeCell ref="H41:M41"/>
    <mergeCell ref="N41:O41"/>
    <mergeCell ref="H42:M42"/>
    <mergeCell ref="N42:O42"/>
    <mergeCell ref="D37:E37"/>
    <mergeCell ref="F37:G37"/>
    <mergeCell ref="D38:E38"/>
    <mergeCell ref="F38:G38"/>
    <mergeCell ref="H38:M38"/>
    <mergeCell ref="N38:O38"/>
    <mergeCell ref="D41:E41"/>
    <mergeCell ref="F41:G41"/>
    <mergeCell ref="D42:E42"/>
    <mergeCell ref="F42:G42"/>
    <mergeCell ref="D39:E39"/>
    <mergeCell ref="F39:G39"/>
    <mergeCell ref="D40:E40"/>
    <mergeCell ref="F40:G40"/>
    <mergeCell ref="H39:M39"/>
    <mergeCell ref="D35:E35"/>
    <mergeCell ref="F35:G35"/>
    <mergeCell ref="D36:E36"/>
    <mergeCell ref="F36:G36"/>
    <mergeCell ref="H35:M35"/>
    <mergeCell ref="N35:O35"/>
    <mergeCell ref="H36:M36"/>
    <mergeCell ref="N36:O36"/>
    <mergeCell ref="H37:M37"/>
    <mergeCell ref="N37:O37"/>
    <mergeCell ref="H32:M32"/>
    <mergeCell ref="N32:O32"/>
    <mergeCell ref="H33:M33"/>
    <mergeCell ref="N33:O33"/>
    <mergeCell ref="H34:M34"/>
    <mergeCell ref="N34:O34"/>
    <mergeCell ref="D29:E29"/>
    <mergeCell ref="F29:G29"/>
    <mergeCell ref="D30:E30"/>
    <mergeCell ref="F30:G30"/>
    <mergeCell ref="D33:E33"/>
    <mergeCell ref="F33:G33"/>
    <mergeCell ref="D34:E34"/>
    <mergeCell ref="F34:G34"/>
    <mergeCell ref="D31:E31"/>
    <mergeCell ref="F31:G31"/>
    <mergeCell ref="D32:E32"/>
    <mergeCell ref="F32:G32"/>
    <mergeCell ref="H31:M31"/>
    <mergeCell ref="F27:G27"/>
    <mergeCell ref="D28:E28"/>
    <mergeCell ref="F28:G28"/>
    <mergeCell ref="D27:E27"/>
    <mergeCell ref="H29:M29"/>
    <mergeCell ref="N29:O29"/>
    <mergeCell ref="H30:M30"/>
    <mergeCell ref="N30:O30"/>
    <mergeCell ref="N31:O31"/>
    <mergeCell ref="F19:G19"/>
    <mergeCell ref="D23:E23"/>
    <mergeCell ref="D24:E24"/>
    <mergeCell ref="D25:E25"/>
    <mergeCell ref="D26:E26"/>
    <mergeCell ref="D18:E18"/>
    <mergeCell ref="D19:E19"/>
    <mergeCell ref="D20:E20"/>
    <mergeCell ref="D21:E21"/>
    <mergeCell ref="D22:E22"/>
    <mergeCell ref="F23:G23"/>
    <mergeCell ref="F24:G24"/>
    <mergeCell ref="F25:G25"/>
    <mergeCell ref="F20:G20"/>
    <mergeCell ref="F21:G21"/>
    <mergeCell ref="F22:G22"/>
    <mergeCell ref="F26:G26"/>
    <mergeCell ref="N18:O18"/>
    <mergeCell ref="U3:W3"/>
    <mergeCell ref="N1:O1"/>
    <mergeCell ref="D5:E5"/>
    <mergeCell ref="C1:M1"/>
    <mergeCell ref="D17:E17"/>
    <mergeCell ref="F17:G17"/>
    <mergeCell ref="F18:G18"/>
    <mergeCell ref="H17:M17"/>
    <mergeCell ref="N17:O17"/>
    <mergeCell ref="H18:M18"/>
  </mergeCells>
  <conditionalFormatting sqref="C3:C4">
    <cfRule type="iconSet" priority="10">
      <iconSet iconSet="3Symbols2" showValue="0" reverse="1">
        <cfvo type="percent" val="0"/>
        <cfvo type="num" val="1.25"/>
        <cfvo type="num" val="2.25"/>
      </iconSet>
    </cfRule>
  </conditionalFormatting>
  <conditionalFormatting sqref="I3:I4">
    <cfRule type="expression" dxfId="277" priority="8">
      <formula>$I$3&lt;TODAY()</formula>
    </cfRule>
  </conditionalFormatting>
  <conditionalFormatting sqref="P18:P92">
    <cfRule type="iconSet" priority="1">
      <iconSet iconSet="3Symbols2" showValue="0" reverse="1">
        <cfvo type="percent" val="0"/>
        <cfvo type="num" val="2"/>
        <cfvo type="num" val="3"/>
      </iconSet>
    </cfRule>
  </conditionalFormatting>
  <dataValidations count="1">
    <dataValidation type="list" allowBlank="1" showInputMessage="1" showErrorMessage="1" errorTitle="Please choose 1,2 or 3" promptTitle="Status" sqref="P18:P92" xr:uid="{4556F9E8-F970-4486-BBF0-34F1E97706F7}">
      <formula1>"1,2,3"</formula1>
    </dataValidation>
  </dataValidations>
  <pageMargins left="0.19685039370078741" right="0.19685039370078741" top="0.31496062992125984" bottom="0.43307086614173229" header="0" footer="0.19685039370078741"/>
  <pageSetup paperSize="9" scale="63" orientation="portrait" r:id="rId1"/>
  <headerFooter scaleWithDoc="0">
    <oddFooter>&amp;L&amp;8&amp;K01+049(c) s. imboden&amp;C&amp;8&amp;K01+049printed &amp;D&amp;R&amp;8&amp;K03+000&amp;P/&amp;N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0013" r:id="rId4" name="Drop Down 333">
              <controlPr defaultSize="0" print="0" autoLine="0" autoPict="0" altText="Choose language">
                <anchor moveWithCells="1">
                  <from>
                    <xdr:col>14</xdr:col>
                    <xdr:colOff>190500</xdr:colOff>
                    <xdr:row>2</xdr:row>
                    <xdr:rowOff>45720</xdr:rowOff>
                  </from>
                  <to>
                    <xdr:col>15</xdr:col>
                    <xdr:colOff>190500</xdr:colOff>
                    <xdr:row>2</xdr:row>
                    <xdr:rowOff>198120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A36FD62A-69E9-4AD8-A0D3-2C741308AC28}">
            <x14:iconSet showValue="0" custom="1">
              <x14:cfvo type="percent">
                <xm:f>0</xm:f>
              </x14:cfvo>
              <x14:cfvo type="num" gte="0">
                <xm:f>2</xm:f>
              </x14:cfvo>
              <x14:cfvo type="num">
                <xm:f>2</xm:f>
              </x14:cfvo>
              <x14:cfIcon iconSet="3TrafficLights1" iconId="1"/>
              <x14:cfIcon iconSet="3TrafficLights1" iconId="1"/>
              <x14:cfIcon iconSet="3TrafficLights1" iconId="1"/>
            </x14:iconSet>
          </x14:cfRule>
          <xm:sqref>N3</xm:sqref>
        </x14:conditionalFormatting>
        <x14:conditionalFormatting xmlns:xm="http://schemas.microsoft.com/office/excel/2006/main">
          <x14:cfRule type="expression" priority="19924" id="{BF9800EF-45EA-4253-83AA-E0B839950428}">
            <xm:f>Detailplan!#REF!&gt;Detailplan!#REF!</xm:f>
            <x14:dxf>
              <font>
                <color rgb="FFFF3300"/>
              </font>
            </x14:dxf>
          </x14:cfRule>
          <xm:sqref>M4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xr:uid="{00000000-0002-0000-0600-000000000000}">
          <x14:formula1>
            <xm:f>Projektteam!$BA$10:$BA$31</xm:f>
          </x14:formula1>
          <xm:sqref>D18:E92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eam">
    <tabColor theme="3" tint="0.59999389629810485"/>
    <pageSetUpPr fitToPage="1"/>
  </sheetPr>
  <dimension ref="A1:DR52"/>
  <sheetViews>
    <sheetView showGridLines="0" showRowColHeaders="0" zoomScaleNormal="100" zoomScaleSheetLayoutView="100" workbookViewId="0">
      <pane xSplit="3" ySplit="10" topLeftCell="D11" activePane="bottomRight" state="frozen"/>
      <selection activeCell="C28" sqref="C28"/>
      <selection pane="topRight" activeCell="C28" sqref="C28"/>
      <selection pane="bottomLeft" activeCell="C28" sqref="C28"/>
      <selection pane="bottomRight"/>
    </sheetView>
  </sheetViews>
  <sheetFormatPr baseColWidth="10" defaultColWidth="11.44140625" defaultRowHeight="14.4" x14ac:dyDescent="0.3"/>
  <cols>
    <col min="1" max="1" width="7" style="423" customWidth="1"/>
    <col min="2" max="3" width="18.88671875" style="422" customWidth="1"/>
    <col min="4" max="4" width="7.88671875" style="422" customWidth="1"/>
    <col min="5" max="5" width="4.88671875" style="422" customWidth="1"/>
    <col min="6" max="8" width="3.109375" style="422" customWidth="1"/>
    <col min="9" max="9" width="2.44140625" style="422" hidden="1" customWidth="1"/>
    <col min="10" max="13" width="3.109375" style="422" hidden="1" customWidth="1"/>
    <col min="14" max="18" width="3.109375" style="422" customWidth="1"/>
    <col min="19" max="22" width="7" style="422" hidden="1" customWidth="1"/>
    <col min="23" max="23" width="3.5546875" style="422" hidden="1" customWidth="1"/>
    <col min="24" max="24" width="6.88671875" style="422" customWidth="1"/>
    <col min="25" max="25" width="3.88671875" style="422" customWidth="1"/>
    <col min="26" max="26" width="14.88671875" style="422" customWidth="1"/>
    <col min="27" max="27" width="15.5546875" style="422" customWidth="1"/>
    <col min="28" max="28" width="13.44140625" style="422" customWidth="1"/>
    <col min="29" max="29" width="12.44140625" style="422" customWidth="1"/>
    <col min="30" max="30" width="8.88671875" style="422" customWidth="1"/>
    <col min="31" max="31" width="12.44140625" style="422" customWidth="1"/>
    <col min="32" max="32" width="8.88671875" style="422" customWidth="1"/>
    <col min="33" max="33" width="15.5546875" style="422" customWidth="1"/>
    <col min="34" max="35" width="13.88671875" style="422" customWidth="1"/>
    <col min="36" max="36" width="15.5546875" style="422" customWidth="1"/>
    <col min="37" max="37" width="8.88671875" style="422" customWidth="1"/>
    <col min="38" max="38" width="15.5546875" style="422" customWidth="1"/>
    <col min="39" max="39" width="25.5546875" style="422" customWidth="1"/>
    <col min="40" max="40" width="11.44140625" style="419" customWidth="1"/>
    <col min="41" max="41" width="14.109375" style="521" hidden="1" customWidth="1"/>
    <col min="42" max="45" width="14.109375" style="420" hidden="1" customWidth="1"/>
    <col min="46" max="51" width="14.109375" style="522" hidden="1" customWidth="1"/>
    <col min="52" max="52" width="32.5546875" style="420" hidden="1" customWidth="1"/>
    <col min="53" max="53" width="24.44140625" style="420" hidden="1" customWidth="1"/>
    <col min="54" max="54" width="31.88671875" style="408" hidden="1" customWidth="1"/>
    <col min="55" max="55" width="36.109375" style="419" hidden="1" customWidth="1"/>
    <col min="56" max="63" width="3" style="419" hidden="1" customWidth="1"/>
    <col min="64" max="64" width="11.88671875" style="421" hidden="1" customWidth="1"/>
    <col min="65" max="65" width="3" style="419" hidden="1" customWidth="1"/>
    <col min="66" max="66" width="8.88671875" style="419" customWidth="1"/>
    <col min="67" max="94" width="3" style="419" customWidth="1"/>
    <col min="95" max="96" width="11.44140625" style="419" customWidth="1"/>
    <col min="97" max="97" width="5.109375" style="419" customWidth="1"/>
    <col min="98" max="104" width="11.44140625" style="419"/>
    <col min="105" max="121" width="11.44140625" style="422"/>
    <col min="122" max="122" width="11.44140625" style="73"/>
    <col min="123" max="16384" width="11.44140625" style="422"/>
  </cols>
  <sheetData>
    <row r="1" spans="1:65" s="1" customFormat="1" ht="41.25" customHeight="1" x14ac:dyDescent="0.6">
      <c r="A1" s="389"/>
      <c r="B1" s="389" t="str">
        <f ca="1">' '!A19</f>
        <v>Equipe de projet</v>
      </c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1"/>
      <c r="Y1" s="391"/>
      <c r="Z1" s="390"/>
      <c r="AA1" s="391"/>
      <c r="AB1" s="355"/>
      <c r="AC1" s="355"/>
      <c r="AD1" s="355"/>
      <c r="AE1" s="355"/>
      <c r="AF1" s="355"/>
      <c r="AG1" s="355"/>
      <c r="AH1" s="355"/>
      <c r="AI1" s="355"/>
      <c r="AJ1" s="355"/>
      <c r="AK1" s="355"/>
      <c r="AL1" s="355"/>
      <c r="AM1" s="392"/>
      <c r="AN1" s="393"/>
      <c r="AO1" s="394"/>
      <c r="AP1" s="395"/>
      <c r="AQ1" s="396"/>
      <c r="AR1" s="396"/>
      <c r="AS1" s="396"/>
      <c r="AT1" s="397"/>
      <c r="AU1" s="397"/>
      <c r="AV1" s="397"/>
      <c r="AW1" s="397"/>
      <c r="AX1" s="397"/>
      <c r="AY1" s="397"/>
      <c r="AZ1" s="398"/>
      <c r="BA1" s="398"/>
      <c r="BB1" s="399"/>
      <c r="BC1" s="393"/>
      <c r="BD1" s="393"/>
      <c r="BE1" s="393"/>
      <c r="BF1" s="393"/>
      <c r="BG1" s="393"/>
      <c r="BH1" s="393"/>
      <c r="BI1" s="393"/>
      <c r="BJ1" s="393"/>
      <c r="BK1" s="393"/>
      <c r="BL1" s="400"/>
      <c r="BM1" s="393"/>
    </row>
    <row r="2" spans="1:65" s="62" customFormat="1" ht="32.1" customHeight="1" x14ac:dyDescent="0.3">
      <c r="A2" s="3"/>
      <c r="B2" s="401"/>
      <c r="AN2" s="402"/>
      <c r="AO2" s="403" t="str">
        <f t="shared" ref="AO2:AO25" si="0">IF(D11&lt;&gt;"",D11,"")</f>
        <v>ImS</v>
      </c>
      <c r="AP2" s="404" t="str">
        <f t="array" ref="AP2">IF(ROW(AO1)&gt;COUNTIF($AO:$AO,"&gt;*"),"",INDEX(AO:AO,SMALL(IF(AO$1:AO$1001&lt;&gt;"",ROW($1:$101)),ROWS($1:1))))</f>
        <v>ImS</v>
      </c>
      <c r="AQ2" s="405"/>
      <c r="AR2" s="405"/>
      <c r="AS2" s="405"/>
      <c r="AT2" s="406"/>
      <c r="AU2" s="406"/>
      <c r="AV2" s="406"/>
      <c r="AW2" s="406"/>
      <c r="AX2" s="406"/>
      <c r="AY2" s="406"/>
      <c r="AZ2" s="407"/>
      <c r="BA2" s="407"/>
      <c r="BB2" s="408"/>
      <c r="BC2" s="402" t="str">
        <f t="array" aca="1" ref="BC2" ca="1">IF(ROW(AZ1)&gt;COUNTIF($AZ:$AZ,"&gt;*"),"",INDEX(AZ:AZ,SMALL(IF(AZ$1:AZ$1001&lt;&gt;"",ROW($1:$101)),ROWS($1:1))))</f>
        <v>Imboden Serge (ImS): budget [h]: 4 / solde budget [h]: 0 / réalisées [h]: 0</v>
      </c>
      <c r="BD2" s="402"/>
      <c r="BE2" s="402"/>
      <c r="BF2" s="402"/>
      <c r="BG2" s="402"/>
      <c r="BH2" s="402"/>
      <c r="BI2" s="402"/>
      <c r="BJ2" s="402"/>
      <c r="BK2" s="402"/>
      <c r="BL2" s="409"/>
      <c r="BM2" s="402"/>
    </row>
    <row r="3" spans="1:65" ht="15" customHeight="1" x14ac:dyDescent="0.3">
      <c r="A3" s="73"/>
      <c r="B3" s="410" t="str">
        <f ca="1">Projektauftrag!B4</f>
        <v>No. de projet :</v>
      </c>
      <c r="C3" s="411" t="str">
        <f>IF(Projektauftrag!D4&lt;&gt;"",Projektauftrag!D4,' '!A164)</f>
        <v>P1</v>
      </c>
      <c r="D3" s="412" t="str">
        <f ca="1">Projektauftrag!E4</f>
        <v>Début:</v>
      </c>
      <c r="E3" s="413"/>
      <c r="F3" s="413"/>
      <c r="G3" s="413"/>
      <c r="H3" s="413"/>
      <c r="I3" s="413"/>
      <c r="J3" s="413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957">
        <f ca="1">IF(Projektauftrag!G4&lt;&gt;"",Projektauftrag!G4,' '!A164)</f>
        <v>46049</v>
      </c>
      <c r="Z3" s="957"/>
      <c r="AA3" s="414" t="str">
        <f ca="1">Projektauftrag!H4</f>
        <v>Fin:</v>
      </c>
      <c r="AB3" s="415">
        <f ca="1">IF(Projektauftrag!J4&lt;&gt;"",Projektauftrag!J4,' '!A164)</f>
        <v>46799</v>
      </c>
      <c r="AC3" s="416"/>
      <c r="AD3" s="417" t="str">
        <f ca="1">' '!A156</f>
        <v>Commentaires</v>
      </c>
      <c r="AE3" s="417"/>
      <c r="AF3" s="418"/>
      <c r="AG3" s="418"/>
      <c r="AH3" s="418"/>
      <c r="AI3" s="418"/>
      <c r="AJ3" s="418"/>
      <c r="AK3" s="418"/>
      <c r="AL3" s="418"/>
      <c r="AM3" s="120" t="str">
        <f ca="1">AD3</f>
        <v>Commentaires</v>
      </c>
      <c r="AO3" s="403" t="str">
        <f t="shared" si="0"/>
        <v>SeS</v>
      </c>
      <c r="AP3" s="404" t="str">
        <f t="array" ref="AP3">IF(ROW(AO2)&gt;COUNTIF($AO:$AO,"&gt;*"),"",INDEX(AO:AO,SMALL(IF(AO$1:AO$1001&lt;&gt;"",ROW($1:$101)),ROWS($1:2))))</f>
        <v>SeS</v>
      </c>
      <c r="AQ3" s="405"/>
      <c r="AR3" s="405"/>
      <c r="AS3" s="405"/>
      <c r="AT3" s="406"/>
      <c r="AU3" s="406"/>
      <c r="AV3" s="406"/>
      <c r="AW3" s="406"/>
      <c r="AX3" s="406"/>
      <c r="AY3" s="406"/>
      <c r="BC3" s="402" t="str">
        <f t="array" aca="1" ref="BC3" ca="1">IF(ROW(AZ2)&gt;COUNTIF($AZ:$AZ,"&gt;*"),"",INDEX(AZ:AZ,SMALL(IF(AZ$1:AZ$1001&lt;&gt;"",ROW($1:$101)),ROWS($1:2))))</f>
        <v>Seppey Sherine (SeS): budget [h]: 0 / solde budget [h]: 0 / réalisées [h]: 0</v>
      </c>
      <c r="BM3" s="186" t="b">
        <v>1</v>
      </c>
    </row>
    <row r="4" spans="1:65" ht="27" customHeight="1" x14ac:dyDescent="0.3">
      <c r="B4" s="424" t="str">
        <f ca="1">Projektauftrag!B5</f>
        <v>Nom du projet :</v>
      </c>
      <c r="C4" s="425" t="str">
        <f>IF(Projektauftrag!D5&lt;&gt;"",Projektauftrag!D5,' '!A164)</f>
        <v>Projet xy</v>
      </c>
      <c r="D4" s="426" t="str">
        <f ca="1">Projektauftrag!E5</f>
        <v>Mandant:</v>
      </c>
      <c r="E4" s="427"/>
      <c r="F4" s="427"/>
      <c r="G4" s="427"/>
      <c r="H4" s="427"/>
      <c r="I4" s="427"/>
      <c r="J4" s="427"/>
      <c r="K4" s="427"/>
      <c r="L4" s="427"/>
      <c r="M4" s="427"/>
      <c r="N4" s="427"/>
      <c r="O4" s="427"/>
      <c r="P4" s="427"/>
      <c r="Q4" s="427"/>
      <c r="R4" s="427"/>
      <c r="S4" s="427"/>
      <c r="T4" s="427"/>
      <c r="U4" s="427"/>
      <c r="V4" s="427"/>
      <c r="W4" s="427"/>
      <c r="X4" s="427"/>
      <c r="Y4" s="958" t="str">
        <f>IF(Projektauftrag!G5&lt;&gt;"",Projektauftrag!G5,' '!A164)</f>
        <v>xyz xxx</v>
      </c>
      <c r="Z4" s="958"/>
      <c r="AA4" s="429" t="str">
        <f ca="1">Projektauftrag!H5</f>
        <v>Chef de projet :</v>
      </c>
      <c r="AB4" s="958" t="str">
        <f>IF(Projektauftrag!J5&lt;&gt;"",Projektauftrag!J5,' '!A164)</f>
        <v>abc def (abc)</v>
      </c>
      <c r="AC4" s="959"/>
      <c r="AD4" s="966"/>
      <c r="AE4" s="966"/>
      <c r="AF4" s="966"/>
      <c r="AG4" s="966"/>
      <c r="AH4" s="966"/>
      <c r="AI4" s="966"/>
      <c r="AJ4" s="966"/>
      <c r="AK4" s="966"/>
      <c r="AL4" s="966"/>
      <c r="AM4" s="960"/>
      <c r="AO4" s="403" t="str">
        <f t="shared" si="0"/>
        <v>PeE</v>
      </c>
      <c r="AP4" s="404" t="str">
        <f t="array" ref="AP4">IF(ROW(AO3)&gt;COUNTIF($AO:$AO,"&gt;*"),"",INDEX(AO:AO,SMALL(IF(AO$1:AO$1001&lt;&gt;"",ROW($1:$101)),ROWS($1:3))))</f>
        <v>PeE</v>
      </c>
      <c r="AQ4" s="405"/>
      <c r="AR4" s="405"/>
      <c r="AS4" s="405"/>
      <c r="AT4" s="406"/>
      <c r="AU4" s="406"/>
      <c r="AV4" s="406"/>
      <c r="AW4" s="406"/>
      <c r="AX4" s="406"/>
      <c r="AY4" s="406"/>
      <c r="BC4" s="402" t="str">
        <f t="array" aca="1" ref="BC4" ca="1">IF(ROW(AZ3)&gt;COUNTIF($AZ:$AZ,"&gt;*"),"",INDEX(AZ:AZ,SMALL(IF(AZ$1:AZ$1001&lt;&gt;"",ROW($1:$101)),ROWS($1:3))))</f>
        <v>Personne Externe (PeE): budget [h]: 0 / solde budget [h]: 0 / réalisées [h]: 0</v>
      </c>
    </row>
    <row r="5" spans="1:65" ht="15.75" customHeight="1" x14ac:dyDescent="0.3">
      <c r="B5" s="424" t="str">
        <f ca="1">Projektauftrag!B6</f>
        <v>Section :</v>
      </c>
      <c r="C5" s="428" t="str">
        <f ca="1">IF(Projektauftrag!D6&lt;&gt;"",Projektauftrag!D6,' '!A164)</f>
        <v>Voir mandat</v>
      </c>
      <c r="D5" s="426" t="str">
        <f ca="1">Projektauftrag!E6</f>
        <v>modifié le :</v>
      </c>
      <c r="E5" s="427"/>
      <c r="F5" s="427"/>
      <c r="G5" s="427"/>
      <c r="H5" s="427"/>
      <c r="I5" s="427"/>
      <c r="J5" s="427"/>
      <c r="K5" s="427"/>
      <c r="L5" s="427"/>
      <c r="M5" s="427"/>
      <c r="N5" s="427"/>
      <c r="O5" s="427"/>
      <c r="P5" s="427"/>
      <c r="Q5" s="427"/>
      <c r="R5" s="427"/>
      <c r="S5" s="427"/>
      <c r="T5" s="427"/>
      <c r="U5" s="427"/>
      <c r="V5" s="427"/>
      <c r="W5" s="427"/>
      <c r="X5" s="427"/>
      <c r="Y5" s="971"/>
      <c r="Z5" s="971"/>
      <c r="AA5" s="429" t="str">
        <f ca="1">Projektauftrag!H6</f>
        <v>Remplaçant/e :</v>
      </c>
      <c r="AB5" s="958" t="str">
        <f ca="1">IF(Projektauftrag!J6&lt;&gt;"",Projektauftrag!J6,' '!A164)</f>
        <v>Voir mandat</v>
      </c>
      <c r="AC5" s="959"/>
      <c r="AD5" s="967"/>
      <c r="AE5" s="967"/>
      <c r="AF5" s="967"/>
      <c r="AG5" s="967"/>
      <c r="AH5" s="967"/>
      <c r="AI5" s="967"/>
      <c r="AJ5" s="967"/>
      <c r="AK5" s="967"/>
      <c r="AL5" s="967"/>
      <c r="AM5" s="960"/>
      <c r="AO5" s="403" t="str">
        <f t="shared" si="0"/>
        <v/>
      </c>
      <c r="AP5" s="404" t="str">
        <f t="array" ref="AP5">IF(ROW(AO4)&gt;COUNTIF($AO:$AO,"&gt;*"),"",INDEX(AO:AO,SMALL(IF(AO$1:AO$1001&lt;&gt;"",ROW($1:$101)),ROWS($1:4))))</f>
        <v>T1 (ImS)</v>
      </c>
      <c r="AQ5" s="405"/>
      <c r="AR5" s="405"/>
      <c r="AS5" s="405"/>
      <c r="AT5" s="406"/>
      <c r="AU5" s="406"/>
      <c r="AV5" s="406"/>
      <c r="AW5" s="406"/>
      <c r="AX5" s="406"/>
      <c r="AY5" s="406"/>
      <c r="BC5" s="402" t="str">
        <f t="array" aca="1" ref="BC5" ca="1">IF(ROW(AZ4)&gt;COUNTIF($AZ:$AZ,"&gt;*"),"",INDEX(AZ:AZ,SMALL(IF(AZ$1:AZ$1001&lt;&gt;"",ROW($1:$101)),ROWS($1:4))))</f>
        <v>T1 (ImS) (3)</v>
      </c>
    </row>
    <row r="6" spans="1:65" ht="29.1" customHeight="1" thickBot="1" x14ac:dyDescent="0.35">
      <c r="B6" s="430" t="str">
        <f ca="1">Projektauftrag!B7</f>
        <v>Objectif stratégique</v>
      </c>
      <c r="C6" s="979" t="str">
        <f ca="1">IF(Projektauftrag!D7&lt;&gt;"",Projektauftrag!D7,' '!A164)</f>
        <v>Voir mandat</v>
      </c>
      <c r="D6" s="980"/>
      <c r="E6" s="980"/>
      <c r="F6" s="980"/>
      <c r="G6" s="980"/>
      <c r="H6" s="980"/>
      <c r="I6" s="980"/>
      <c r="J6" s="980"/>
      <c r="K6" s="980"/>
      <c r="L6" s="980"/>
      <c r="M6" s="980"/>
      <c r="N6" s="980"/>
      <c r="O6" s="980"/>
      <c r="P6" s="980"/>
      <c r="Q6" s="980"/>
      <c r="R6" s="980"/>
      <c r="S6" s="980"/>
      <c r="T6" s="980"/>
      <c r="U6" s="980"/>
      <c r="V6" s="980"/>
      <c r="W6" s="980"/>
      <c r="X6" s="980"/>
      <c r="Y6" s="980"/>
      <c r="Z6" s="980"/>
      <c r="AA6" s="980"/>
      <c r="AB6" s="980"/>
      <c r="AC6" s="981"/>
      <c r="AD6" s="967"/>
      <c r="AE6" s="967"/>
      <c r="AF6" s="967"/>
      <c r="AG6" s="967"/>
      <c r="AH6" s="967"/>
      <c r="AI6" s="967"/>
      <c r="AJ6" s="967"/>
      <c r="AK6" s="967"/>
      <c r="AL6" s="967"/>
      <c r="AM6" s="960"/>
      <c r="AO6" s="403" t="str">
        <f t="shared" si="0"/>
        <v/>
      </c>
      <c r="AP6" s="404" t="str">
        <f t="array" ref="AP6">IF(ROW(AO5)&gt;COUNTIF($AO:$AO,"&gt;*"),"",INDEX(AO:AO,SMALL(IF(AO$1:AO$1001&lt;&gt;"",ROW($1:$101)),ROWS($1:5))))</f>
        <v/>
      </c>
      <c r="AQ6" s="405"/>
      <c r="AR6" s="405"/>
      <c r="AS6" s="405"/>
      <c r="AT6" s="406"/>
      <c r="AU6" s="406"/>
      <c r="AV6" s="406"/>
      <c r="AW6" s="406"/>
      <c r="AX6" s="406"/>
      <c r="AY6" s="406"/>
      <c r="BC6" s="402" t="str">
        <f t="array" aca="1" ref="BC6" ca="1">IF(ROW(AZ5)&gt;COUNTIF($AZ:$AZ,"&gt;*"),"",INDEX(AZ:AZ,SMALL(IF(AZ$1:AZ$1001&lt;&gt;"",ROW($1:$101)),ROWS($1:5))))</f>
        <v/>
      </c>
    </row>
    <row r="7" spans="1:65" ht="9.75" customHeight="1" thickTop="1" x14ac:dyDescent="0.3">
      <c r="B7" s="431"/>
      <c r="C7" s="432"/>
      <c r="D7" s="432"/>
      <c r="E7" s="432"/>
      <c r="F7" s="432"/>
      <c r="G7" s="432"/>
      <c r="H7" s="432"/>
      <c r="I7" s="432"/>
      <c r="J7" s="432"/>
      <c r="K7" s="432"/>
      <c r="L7" s="432"/>
      <c r="M7" s="432"/>
      <c r="N7" s="432"/>
      <c r="O7" s="432"/>
      <c r="P7" s="432"/>
      <c r="Q7" s="432"/>
      <c r="R7" s="432"/>
      <c r="S7" s="432"/>
      <c r="T7" s="432"/>
      <c r="U7" s="432"/>
      <c r="V7" s="432"/>
      <c r="W7" s="432"/>
      <c r="X7" s="432"/>
      <c r="Y7" s="432"/>
      <c r="Z7" s="432"/>
      <c r="AA7" s="432"/>
      <c r="AB7" s="432"/>
      <c r="AC7" s="432"/>
      <c r="AD7" s="974" t="str">
        <f ca="1">' '!A185</f>
        <v>BUDGET</v>
      </c>
      <c r="AE7" s="974"/>
      <c r="AF7" s="974"/>
      <c r="AG7" s="974"/>
      <c r="AH7" s="974"/>
      <c r="AI7" s="974"/>
      <c r="AJ7" s="975"/>
      <c r="AK7" s="972" t="str">
        <f ca="1">' '!A133</f>
        <v>Réalisées</v>
      </c>
      <c r="AL7" s="972"/>
      <c r="AM7" s="433"/>
      <c r="AO7" s="403" t="str">
        <f t="shared" si="0"/>
        <v/>
      </c>
      <c r="AP7" s="404" t="str">
        <f t="array" ref="AP7">IF(ROW(AO6)&gt;COUNTIF($AO:$AO,"&gt;*"),"",INDEX(AO:AO,SMALL(IF(AO$1:AO$1001&lt;&gt;"",ROW($1:$101)),ROWS($1:6))))</f>
        <v/>
      </c>
      <c r="AQ7" s="405"/>
      <c r="AR7" s="405"/>
      <c r="AS7" s="405"/>
      <c r="AT7" s="406"/>
      <c r="AU7" s="406"/>
      <c r="AV7" s="406"/>
      <c r="AW7" s="406"/>
      <c r="AX7" s="406"/>
      <c r="AY7" s="406"/>
      <c r="BC7" s="402" t="str">
        <f t="array" aca="1" ref="BC7" ca="1">IF(ROW(AZ6)&gt;COUNTIF($AZ:$AZ,"&gt;*"),"",INDEX(AZ:AZ,SMALL(IF(AZ$1:AZ$1001&lt;&gt;"",ROW($1:$101)),ROWS($1:6))))</f>
        <v/>
      </c>
    </row>
    <row r="8" spans="1:65" ht="15" customHeight="1" thickBot="1" x14ac:dyDescent="0.35">
      <c r="AD8" s="976"/>
      <c r="AE8" s="976"/>
      <c r="AF8" s="976"/>
      <c r="AG8" s="976"/>
      <c r="AH8" s="976"/>
      <c r="AI8" s="976"/>
      <c r="AJ8" s="977"/>
      <c r="AK8" s="973"/>
      <c r="AL8" s="973"/>
      <c r="AM8" s="434"/>
      <c r="AO8" s="403" t="str">
        <f t="shared" si="0"/>
        <v/>
      </c>
      <c r="AP8" s="404" t="str">
        <f t="array" ref="AP8">IF(ROW(AO7)&gt;COUNTIF($AO:$AO,"&gt;*"),"",INDEX(AO:AO,SMALL(IF(AO$1:AO$1001&lt;&gt;"",ROW($1:$101)),ROWS($1:7))))</f>
        <v/>
      </c>
      <c r="AQ8" s="405"/>
      <c r="AR8" s="405"/>
      <c r="AS8" s="405"/>
      <c r="AT8" s="406"/>
      <c r="AU8" s="406"/>
      <c r="AV8" s="406"/>
      <c r="AW8" s="406"/>
      <c r="AX8" s="406"/>
      <c r="AY8" s="406"/>
      <c r="BC8" s="402" t="str">
        <f t="array" aca="1" ref="BC8" ca="1">IF(ROW(AZ7)&gt;COUNTIF($AZ:$AZ,"&gt;*"),"",INDEX(AZ:AZ,SMALL(IF(AZ$1:AZ$1001&lt;&gt;"",ROW($1:$101)),ROWS($1:7))))</f>
        <v/>
      </c>
    </row>
    <row r="9" spans="1:65" ht="32.25" customHeight="1" x14ac:dyDescent="0.3">
      <c r="A9" s="435">
        <f>COUNTA(B11:B31)</f>
        <v>3</v>
      </c>
      <c r="B9" s="436" t="str">
        <f ca="1">' '!A178</f>
        <v>Nom</v>
      </c>
      <c r="C9" s="437" t="str">
        <f ca="1">' '!A179</f>
        <v>Prénom</v>
      </c>
      <c r="D9" s="438" t="str">
        <f ca="1">' '!A180</f>
        <v>Abrév.</v>
      </c>
      <c r="E9" s="439" t="str">
        <f ca="1">' '!A181</f>
        <v>interne</v>
      </c>
      <c r="F9" s="440" t="s">
        <v>1657</v>
      </c>
      <c r="G9" s="440" t="s">
        <v>1657</v>
      </c>
      <c r="H9" s="440" t="s">
        <v>1657</v>
      </c>
      <c r="I9" s="441">
        <v>1</v>
      </c>
      <c r="J9" s="441">
        <v>2</v>
      </c>
      <c r="K9" s="441">
        <v>3</v>
      </c>
      <c r="L9" s="441">
        <v>4</v>
      </c>
      <c r="M9" s="441">
        <v>5</v>
      </c>
      <c r="N9" s="963" t="s">
        <v>1754</v>
      </c>
      <c r="O9" s="964"/>
      <c r="P9" s="964"/>
      <c r="Q9" s="964"/>
      <c r="R9" s="965"/>
      <c r="S9" s="442"/>
      <c r="T9" s="442"/>
      <c r="U9" s="442"/>
      <c r="V9" s="442"/>
      <c r="W9" s="442"/>
      <c r="X9" s="978" t="str">
        <f ca="1">' '!A182</f>
        <v>e-mail</v>
      </c>
      <c r="Y9" s="978"/>
      <c r="Z9" s="978"/>
      <c r="AA9" s="437" t="str">
        <f ca="1">' '!A183</f>
        <v>Téléphone</v>
      </c>
      <c r="AB9" s="437" t="str">
        <f ca="1">' '!A194</f>
        <v>Fonction</v>
      </c>
      <c r="AC9" s="443" t="str">
        <f ca="1">' '!A184&amp;" ["&amp;Logo!D13&amp;"]"</f>
        <v>Tarif horaire [CHF]</v>
      </c>
      <c r="AD9" s="444" t="str">
        <f ca="1">' '!A186</f>
        <v>heures budget</v>
      </c>
      <c r="AE9" s="444" t="str">
        <f ca="1">' '!A187</f>
        <v>heures attribuées</v>
      </c>
      <c r="AF9" s="445" t="str">
        <f ca="1">' '!A196&amp;" [h]"</f>
        <v>SOLDE [h]</v>
      </c>
      <c r="AG9" s="446" t="str">
        <f ca="1">IF($BM$3=TRUE,' '!A189,' '!A140)</f>
        <v>[CHF]</v>
      </c>
      <c r="AH9" s="447" t="str">
        <f ca="1">IF($BM$3=TRUE,' '!A201&amp;" ["&amp;Logo!D13&amp;"]",' '!A201&amp;" [h]")</f>
        <v>Ressources internes [CHF]</v>
      </c>
      <c r="AI9" s="448" t="str">
        <f ca="1">' '!A207&amp;" ["&amp;Logo!D13&amp;"]"</f>
        <v>Ressources externes [CHF]</v>
      </c>
      <c r="AJ9" s="449" t="str">
        <f ca="1">IF($BM$3=TRUE,' '!A196&amp;" ["&amp;Logo!D13&amp;"]",' '!A139)</f>
        <v>SOLDE [CHF]</v>
      </c>
      <c r="AK9" s="450" t="str">
        <f ca="1">' '!A188</f>
        <v>heures réalisées</v>
      </c>
      <c r="AL9" s="451" t="str">
        <f ca="1">AG9</f>
        <v>[CHF]</v>
      </c>
      <c r="AM9" s="452" t="str">
        <f ca="1">' '!A190</f>
        <v>Absences/Remarques</v>
      </c>
      <c r="AO9" s="403" t="str">
        <f t="shared" si="0"/>
        <v/>
      </c>
      <c r="AP9" s="404" t="str">
        <f t="array" ref="AP9">IF(ROW(AO8)&gt;COUNTIF($AO:$AO,"&gt;*"),"",INDEX(AO:AO,SMALL(IF(AO$1:AO$1001&lt;&gt;"",ROW($1:$101)),ROWS($1:8))))</f>
        <v/>
      </c>
      <c r="AQ9" s="968" t="s">
        <v>1703</v>
      </c>
      <c r="AR9" s="969"/>
      <c r="AS9" s="969"/>
      <c r="AT9" s="970"/>
      <c r="AU9" s="968" t="s">
        <v>1704</v>
      </c>
      <c r="AV9" s="969"/>
      <c r="AW9" s="969"/>
      <c r="AX9" s="970"/>
      <c r="AY9" s="453"/>
      <c r="AZ9" s="454"/>
      <c r="BB9" s="455"/>
      <c r="BC9" s="402" t="str">
        <f t="array" aca="1" ref="BC9" ca="1">IF(ROW(AZ8)&gt;COUNTIF($AZ:$AZ,"&gt;*"),"",INDEX(AZ:AZ,SMALL(IF(AZ$1:AZ$1001&lt;&gt;"",ROW($1:$101)),ROWS($1:8))))</f>
        <v/>
      </c>
    </row>
    <row r="10" spans="1:65" s="474" customFormat="1" ht="7.5" customHeight="1" x14ac:dyDescent="0.3">
      <c r="A10" s="456"/>
      <c r="B10" s="457"/>
      <c r="C10" s="458"/>
      <c r="D10" s="459"/>
      <c r="E10" s="460"/>
      <c r="F10" s="461"/>
      <c r="G10" s="461"/>
      <c r="H10" s="461"/>
      <c r="I10" s="461"/>
      <c r="J10" s="461"/>
      <c r="K10" s="461"/>
      <c r="L10" s="461"/>
      <c r="M10" s="461"/>
      <c r="N10" s="461"/>
      <c r="O10" s="461"/>
      <c r="P10" s="461"/>
      <c r="Q10" s="461"/>
      <c r="R10" s="461"/>
      <c r="S10" s="461"/>
      <c r="T10" s="461"/>
      <c r="U10" s="461"/>
      <c r="V10" s="461"/>
      <c r="W10" s="461"/>
      <c r="X10" s="462"/>
      <c r="Y10" s="462"/>
      <c r="Z10" s="462"/>
      <c r="AA10" s="458"/>
      <c r="AB10" s="458"/>
      <c r="AC10" s="461"/>
      <c r="AD10" s="460"/>
      <c r="AE10" s="460"/>
      <c r="AF10" s="463"/>
      <c r="AG10" s="464"/>
      <c r="AH10" s="465"/>
      <c r="AI10" s="465"/>
      <c r="AJ10" s="466"/>
      <c r="AK10" s="461"/>
      <c r="AL10" s="467"/>
      <c r="AM10" s="468"/>
      <c r="AN10" s="469"/>
      <c r="AO10" s="403" t="str">
        <f t="shared" si="0"/>
        <v/>
      </c>
      <c r="AP10" s="404" t="str">
        <f t="array" ref="AP10">IF(ROW(AO9)&gt;COUNTIF($AO:$AO,"&gt;*"),"",INDEX(AO:AO,SMALL(IF(AO$1:AO$1001&lt;&gt;"",ROW($1:$101)),ROWS($1:9))))</f>
        <v/>
      </c>
      <c r="AQ10" s="405"/>
      <c r="AR10" s="405"/>
      <c r="AS10" s="405"/>
      <c r="AT10" s="406"/>
      <c r="AU10" s="406"/>
      <c r="AV10" s="406"/>
      <c r="AW10" s="406"/>
      <c r="AX10" s="406"/>
      <c r="AY10" s="406"/>
      <c r="AZ10" s="470"/>
      <c r="BA10" s="471"/>
      <c r="BB10" s="472"/>
      <c r="BC10" s="402" t="str">
        <f t="array" aca="1" ref="BC10" ca="1">IF(ROW(AZ9)&gt;COUNTIF($AZ:$AZ,"&gt;*"),"",INDEX(AZ:AZ,SMALL(IF(AZ$1:AZ$1001&lt;&gt;"",ROW($1:$101)),ROWS($1:9))))</f>
        <v/>
      </c>
      <c r="BD10" s="469"/>
      <c r="BE10" s="469"/>
      <c r="BF10" s="469"/>
      <c r="BG10" s="469"/>
      <c r="BH10" s="469"/>
      <c r="BI10" s="469"/>
      <c r="BJ10" s="469"/>
      <c r="BK10" s="469"/>
      <c r="BL10" s="473"/>
      <c r="BM10" s="469"/>
    </row>
    <row r="11" spans="1:65" s="485" customFormat="1" ht="15.75" customHeight="1" x14ac:dyDescent="0.3">
      <c r="A11" s="475">
        <v>1</v>
      </c>
      <c r="B11" s="104" t="s">
        <v>2270</v>
      </c>
      <c r="C11" s="105" t="s">
        <v>2271</v>
      </c>
      <c r="D11" s="106" t="str">
        <f t="shared" ref="D11:D15" si="1">CONCATENATE(MID(B11,1,2),MID(C11,1,1))</f>
        <v>ImS</v>
      </c>
      <c r="E11" s="107" t="s">
        <v>2257</v>
      </c>
      <c r="F11" s="108">
        <v>1</v>
      </c>
      <c r="G11" s="108"/>
      <c r="H11" s="108"/>
      <c r="I11" s="108" t="str">
        <f>IF(OR(F11=1,G11=1,H11=1),"",1)</f>
        <v/>
      </c>
      <c r="J11" s="108">
        <f>IF(OR(F11=2,G11=2,H11=2),"",2)</f>
        <v>2</v>
      </c>
      <c r="K11" s="108">
        <f>IF(OR(F11=3,G11=3,H11=3),"",3)</f>
        <v>3</v>
      </c>
      <c r="L11" s="108">
        <f>IF(OR(F11=4,G11=4,H11=4),"",4)</f>
        <v>4</v>
      </c>
      <c r="M11" s="476">
        <f>IF(OR(F11=5,G11=5,H11=5),"",5)</f>
        <v>5</v>
      </c>
      <c r="N11" s="118" t="s">
        <v>1757</v>
      </c>
      <c r="O11" s="108"/>
      <c r="P11" s="108"/>
      <c r="Q11" s="108"/>
      <c r="R11" s="108"/>
      <c r="S11" s="108" t="str">
        <f>IF(COUNTIFS(N11:R11,"T1"),"T1 "&amp;"("&amp;D11&amp;")","")</f>
        <v>T1 (ImS)</v>
      </c>
      <c r="T11" s="108" t="str">
        <f>IF(COUNTIFS(N11:R11,"T2"),"T2 "&amp;"("&amp;D11&amp;")","")</f>
        <v/>
      </c>
      <c r="U11" s="108" t="str">
        <f>IF(COUNTIFS(N11:R11,"T3"),"T3 "&amp;"("&amp;D11&amp;")","")</f>
        <v/>
      </c>
      <c r="V11" s="108" t="str">
        <f>IF(COUNTIFS(N11:R11,"T4"),"T4 "&amp;"("&amp;D11&amp;")","")</f>
        <v/>
      </c>
      <c r="W11" s="108" t="str">
        <f>IF(COUNTIFS(N11:R11,"T5"),"T5 "&amp;"("&amp;D11&amp;")","")</f>
        <v/>
      </c>
      <c r="X11" s="961" t="s">
        <v>1304</v>
      </c>
      <c r="Y11" s="962"/>
      <c r="Z11" s="962"/>
      <c r="AA11" s="109">
        <v>123</v>
      </c>
      <c r="AB11" s="177" t="s">
        <v>2274</v>
      </c>
      <c r="AC11" s="110">
        <v>160</v>
      </c>
      <c r="AD11" s="111">
        <f t="shared" ref="AD11:AD31" si="2">AE11</f>
        <v>4</v>
      </c>
      <c r="AE11" s="111">
        <f xml:space="preserve"> IF(D11&lt;&gt;"",
SUMIF(Detailplan!$G$15:$G$228,Projektteam!D11,Detailplan!$K$15:$K$228)+AX11,0)</f>
        <v>4</v>
      </c>
      <c r="AF11" s="111">
        <f t="shared" ref="AF11:AF31" si="3">AD11-(AE11)</f>
        <v>0</v>
      </c>
      <c r="AG11" s="477">
        <f t="shared" ref="AG11:AG31" si="4">IF(AND($BM$3=TRUE,$BB11=1),AC11*AD11,
IF($BB11=0,AC11*AD11,AD11))</f>
        <v>640</v>
      </c>
      <c r="AH11" s="478">
        <f t="shared" ref="AH11:AH31" si="5">IF($BB11=1,$AG11,0)</f>
        <v>640</v>
      </c>
      <c r="AI11" s="478">
        <f>AG11-AH11</f>
        <v>0</v>
      </c>
      <c r="AJ11" s="478">
        <f t="shared" ref="AJ11:AJ31" si="6">IF(AND($BM$3=TRUE,$BB11=1),AG11-((AE11)*AC11),
IF($BB11=0,AG11-((AE11)*AC11),AF11))</f>
        <v>0</v>
      </c>
      <c r="AK11" s="111">
        <f xml:space="preserve"> SUMIFS(Detailplan!$K$15:$K$228,Detailplan!$G$15:$G$228,Projektteam!$D$11:$D$31,Detailplan!$J$15:$J$228,"=1")+AT11</f>
        <v>0</v>
      </c>
      <c r="AL11" s="478">
        <f>IF(AND($BM$3=TRUE,$BB11=1),AK11*AC11,
IF($BB11=0,AK11*AC11,AK11))</f>
        <v>0</v>
      </c>
      <c r="AM11" s="105"/>
      <c r="AN11" s="479"/>
      <c r="AO11" s="403" t="str">
        <f t="shared" si="0"/>
        <v/>
      </c>
      <c r="AP11" s="404" t="str">
        <f t="array" ref="AP11">IF(ROW(AO10)&gt;COUNTIF($AO:$AO,"&gt;*"),"",INDEX(AO:AO,SMALL(IF(AO$1:AO$1001&lt;&gt;"",ROW($1:$101)),ROWS($1:10))))</f>
        <v/>
      </c>
      <c r="AQ11" s="406">
        <f t="shared" ref="AQ11:AQ31" si="7">IF(F11=1,$X$36,
IF(F11=2,$X$37,
IF(F11=3,$X$38,
IF(F11=4,$X$39,
IF(F11=5,$X$40,0)))))</f>
        <v>0</v>
      </c>
      <c r="AR11" s="406">
        <f t="shared" ref="AR11:AR31" si="8">IF(G11=1,$X$36,
IF(G11=2,$X$37,
IF(G11=3,$X$38,
IF(G11=4,$X$39,
IF(G11=5,$X$40,0)))))</f>
        <v>0</v>
      </c>
      <c r="AS11" s="406">
        <f t="shared" ref="AS11:AS31" si="9">IF(H11=1,$X$36,
IF(H11=2,$X$37,
IF(H11=3,$X$38,
IF(H11=4,$X$39,
IF(H11=5,$X$40,0)))))</f>
        <v>0</v>
      </c>
      <c r="AT11" s="480">
        <f>SUM(AQ11:AS11)</f>
        <v>0</v>
      </c>
      <c r="AU11" s="406">
        <f t="shared" ref="AU11:AU31" si="10">IF(F11=1,$Y$36,
IF(F11=2,$Y$37,
IF(F11=3,$Y$38,
IF(F11=4,$Y$39,
IF(F11=5,$Y$40,0)))))</f>
        <v>0</v>
      </c>
      <c r="AV11" s="406">
        <f t="shared" ref="AV11:AV31" si="11">IF(G11=1,$Y$36,
IF(G11=2,$Y$37,
IF(G11=3,$Y$38,
IF(G11=4,$Y$39,
IF(G11=5,$Y$40,0)))))</f>
        <v>0</v>
      </c>
      <c r="AW11" s="406">
        <f t="shared" ref="AW11:AW31" si="12">IF(H11=1,$Y$36,
IF(H11=2,$Y$37,
IF(H11=3,$Y$38,
IF(H11=4,$Y$39,
IF(H11=5,$Y$40,0)))))</f>
        <v>0</v>
      </c>
      <c r="AX11" s="480">
        <f>SUM(AU11:AW11)</f>
        <v>0</v>
      </c>
      <c r="AY11" s="406"/>
      <c r="AZ11" s="481" t="str">
        <f ca="1">IF(D11&lt;&gt;"",CONCATENATE(B11," ",C11," (",D11,"): ",' '!$A$197,": ",AD11," / ",' '!$A$199,": ",AF11," / ",' '!$A$198,": ",AK11,),"")</f>
        <v>Imboden Serge (ImS): budget [h]: 4 / solde budget [h]: 0 / réalisées [h]: 0</v>
      </c>
      <c r="BA11" s="481" t="str">
        <f t="shared" ref="BA11:BA31" si="13">IF(B11&lt;&gt;"",CONCATENATE(B11," ",C11, " (",D11,")"),"")</f>
        <v>Imboden Serge (ImS)</v>
      </c>
      <c r="BB11" s="482">
        <f t="shared" ref="BB11:BB31" si="14">N(BL11)</f>
        <v>1</v>
      </c>
      <c r="BC11" s="402" t="str">
        <f t="array" aca="1" ref="BC11" ca="1">IF(ROW(AZ10)&gt;COUNTIF($AZ:$AZ,"&gt;*"),"",INDEX(AZ:AZ,SMALL(IF(AZ$1:AZ$1001&lt;&gt;"",ROW($1:$101)),ROWS($1:10))))</f>
        <v/>
      </c>
      <c r="BD11" s="483"/>
      <c r="BE11" s="483"/>
      <c r="BF11" s="483"/>
      <c r="BG11" s="483"/>
      <c r="BH11" s="483"/>
      <c r="BI11" s="483"/>
      <c r="BJ11" s="483"/>
      <c r="BK11" s="483"/>
      <c r="BL11" s="484" t="b">
        <f t="shared" ref="BL11:BL31" si="15">IF(OR(E11="x",
E11="X"),
TRUE,FALSE)</f>
        <v>1</v>
      </c>
      <c r="BM11" s="483"/>
    </row>
    <row r="12" spans="1:65" s="485" customFormat="1" ht="15.75" customHeight="1" x14ac:dyDescent="0.3">
      <c r="A12" s="475">
        <v>2</v>
      </c>
      <c r="B12" s="104" t="s">
        <v>2272</v>
      </c>
      <c r="C12" s="105" t="s">
        <v>2273</v>
      </c>
      <c r="D12" s="106" t="str">
        <f t="shared" si="1"/>
        <v>SeS</v>
      </c>
      <c r="E12" s="107" t="s">
        <v>2257</v>
      </c>
      <c r="F12" s="108">
        <v>1</v>
      </c>
      <c r="G12" s="108"/>
      <c r="H12" s="108"/>
      <c r="I12" s="108" t="str">
        <f t="shared" ref="I12" si="16">IF(OR(F12=1,G12=1,H12=1),"",1)</f>
        <v/>
      </c>
      <c r="J12" s="108">
        <f t="shared" ref="J12" si="17">IF(OR(F12=2,G12=2,H12=2),"",2)</f>
        <v>2</v>
      </c>
      <c r="K12" s="108">
        <f t="shared" ref="K12" si="18">IF(OR(F12=3,G12=3,H12=3),"",3)</f>
        <v>3</v>
      </c>
      <c r="L12" s="108">
        <f t="shared" ref="L12" si="19">IF(OR(F12=4,G12=4,H12=4),"",4)</f>
        <v>4</v>
      </c>
      <c r="M12" s="476">
        <f t="shared" ref="M12" si="20">IF(OR(F12=5,G12=5,H12=5),"",5)</f>
        <v>5</v>
      </c>
      <c r="N12" s="118"/>
      <c r="O12" s="108"/>
      <c r="P12" s="108"/>
      <c r="Q12" s="108"/>
      <c r="R12" s="108"/>
      <c r="S12" s="108" t="str">
        <f t="shared" ref="S12:S31" si="21">IF(COUNTIFS(N12:R12,"T1"),"T1 "&amp;"("&amp;D12&amp;")","")</f>
        <v/>
      </c>
      <c r="T12" s="108" t="str">
        <f t="shared" ref="T12:T31" si="22">IF(COUNTIFS(N12:R12,"T2"),"T2 "&amp;"("&amp;D12&amp;")","")</f>
        <v/>
      </c>
      <c r="U12" s="108" t="str">
        <f t="shared" ref="U12:U31" si="23">IF(COUNTIFS(N12:R12,"T3"),"T3 "&amp;"("&amp;D12&amp;")","")</f>
        <v/>
      </c>
      <c r="V12" s="108" t="str">
        <f t="shared" ref="V12:V31" si="24">IF(COUNTIFS(N12:R12,"T4"),"T4 "&amp;"("&amp;D12&amp;")","")</f>
        <v/>
      </c>
      <c r="W12" s="108" t="str">
        <f t="shared" ref="W12:W31" si="25">IF(COUNTIFS(N12:R12,"T5"),"T5 "&amp;"("&amp;D12&amp;")","")</f>
        <v/>
      </c>
      <c r="X12" s="961" t="s">
        <v>1138</v>
      </c>
      <c r="Y12" s="962"/>
      <c r="Z12" s="962"/>
      <c r="AA12" s="109">
        <v>567</v>
      </c>
      <c r="AB12" s="177" t="s">
        <v>2275</v>
      </c>
      <c r="AC12" s="110">
        <v>110</v>
      </c>
      <c r="AD12" s="111">
        <f t="shared" si="2"/>
        <v>0</v>
      </c>
      <c r="AE12" s="111">
        <f xml:space="preserve"> IF(D12&lt;&gt;"",
SUMIF(Detailplan!$G$15:$G$228,Projektteam!D12,Detailplan!$K$15:$K$228)+AX12,0)</f>
        <v>0</v>
      </c>
      <c r="AF12" s="111">
        <f t="shared" si="3"/>
        <v>0</v>
      </c>
      <c r="AG12" s="477">
        <f t="shared" si="4"/>
        <v>0</v>
      </c>
      <c r="AH12" s="478">
        <f t="shared" si="5"/>
        <v>0</v>
      </c>
      <c r="AI12" s="478">
        <f t="shared" ref="AI12" si="26">AG12-AH12</f>
        <v>0</v>
      </c>
      <c r="AJ12" s="478">
        <f t="shared" si="6"/>
        <v>0</v>
      </c>
      <c r="AK12" s="111">
        <f xml:space="preserve"> SUMIFS(Detailplan!$K$15:$K$228,Detailplan!$G$15:$G$228,Projektteam!$D$11:$D$31,Detailplan!$J$15:$J$228,"=1")+AT12</f>
        <v>0</v>
      </c>
      <c r="AL12" s="478">
        <f>IF(AND($BM$3=TRUE,$BB12=1),AK12*AC12,
IF($BB12=0,AK12*AC12,AK12))</f>
        <v>0</v>
      </c>
      <c r="AM12" s="105"/>
      <c r="AN12" s="479"/>
      <c r="AO12" s="403" t="str">
        <f t="shared" si="0"/>
        <v/>
      </c>
      <c r="AP12" s="404" t="str">
        <f t="array" ref="AP12">IF(ROW(AO11)&gt;COUNTIF($AO:$AO,"&gt;*"),"",INDEX(AO:AO,SMALL(IF(AO$1:AO$1001&lt;&gt;"",ROW($1:$101)),ROWS($1:11))))</f>
        <v/>
      </c>
      <c r="AQ12" s="406">
        <f t="shared" si="7"/>
        <v>0</v>
      </c>
      <c r="AR12" s="406">
        <f t="shared" si="8"/>
        <v>0</v>
      </c>
      <c r="AS12" s="406">
        <f t="shared" si="9"/>
        <v>0</v>
      </c>
      <c r="AT12" s="480">
        <f t="shared" ref="AT12" si="27">SUM(AQ12:AS12)</f>
        <v>0</v>
      </c>
      <c r="AU12" s="406">
        <f t="shared" si="10"/>
        <v>0</v>
      </c>
      <c r="AV12" s="406">
        <f t="shared" si="11"/>
        <v>0</v>
      </c>
      <c r="AW12" s="406">
        <f t="shared" si="12"/>
        <v>0</v>
      </c>
      <c r="AX12" s="480">
        <f t="shared" ref="AX12:AX31" si="28">SUM(AU12:AW12)</f>
        <v>0</v>
      </c>
      <c r="AY12" s="406"/>
      <c r="AZ12" s="481" t="str">
        <f ca="1">IF(D12&lt;&gt;"",CONCATENATE(B12," ",C12," (",D12,"): ",' '!$A$197,": ",AD12," / ",' '!$A$199,": ",AF12," / ",' '!$A$198,": ",AK12,),"")</f>
        <v>Seppey Sherine (SeS): budget [h]: 0 / solde budget [h]: 0 / réalisées [h]: 0</v>
      </c>
      <c r="BA12" s="481" t="str">
        <f t="shared" si="13"/>
        <v>Seppey Sherine (SeS)</v>
      </c>
      <c r="BB12" s="482">
        <f t="shared" si="14"/>
        <v>1</v>
      </c>
      <c r="BC12" s="402" t="str">
        <f t="array" aca="1" ref="BC12" ca="1">IF(ROW(AZ11)&gt;COUNTIF($AZ:$AZ,"&gt;*"),"",INDEX(AZ:AZ,SMALL(IF(AZ$1:AZ$1001&lt;&gt;"",ROW($1:$101)),ROWS($1:11))))</f>
        <v/>
      </c>
      <c r="BD12" s="483"/>
      <c r="BE12" s="483"/>
      <c r="BF12" s="483"/>
      <c r="BG12" s="483"/>
      <c r="BH12" s="483"/>
      <c r="BI12" s="483"/>
      <c r="BJ12" s="483"/>
      <c r="BK12" s="483"/>
      <c r="BL12" s="484" t="b">
        <f t="shared" si="15"/>
        <v>1</v>
      </c>
      <c r="BM12" s="483"/>
    </row>
    <row r="13" spans="1:65" s="485" customFormat="1" ht="15.75" customHeight="1" x14ac:dyDescent="0.3">
      <c r="A13" s="475">
        <v>3</v>
      </c>
      <c r="B13" s="104" t="s">
        <v>2281</v>
      </c>
      <c r="C13" s="105" t="s">
        <v>2282</v>
      </c>
      <c r="D13" s="106" t="str">
        <f t="shared" si="1"/>
        <v>PeE</v>
      </c>
      <c r="E13" s="107"/>
      <c r="F13" s="108">
        <v>1</v>
      </c>
      <c r="G13" s="108"/>
      <c r="H13" s="108"/>
      <c r="I13" s="108" t="str">
        <f t="shared" ref="I13:I31" si="29">IF(OR(F13=1,G13=1,H13=1),"",1)</f>
        <v/>
      </c>
      <c r="J13" s="108">
        <f t="shared" ref="J13:J31" si="30">IF(OR(F13=2,G13=2,H13=2),"",2)</f>
        <v>2</v>
      </c>
      <c r="K13" s="108">
        <f t="shared" ref="K13:K31" si="31">IF(OR(F13=3,G13=3,H13=3),"",3)</f>
        <v>3</v>
      </c>
      <c r="L13" s="108">
        <f t="shared" ref="L13:L31" si="32">IF(OR(F13=4,G13=4,H13=4),"",4)</f>
        <v>4</v>
      </c>
      <c r="M13" s="476">
        <f t="shared" ref="M13:M31" si="33">IF(OR(F13=5,G13=5,H13=5),"",5)</f>
        <v>5</v>
      </c>
      <c r="N13" s="118"/>
      <c r="O13" s="108"/>
      <c r="P13" s="108"/>
      <c r="Q13" s="108"/>
      <c r="R13" s="108"/>
      <c r="S13" s="108" t="str">
        <f t="shared" si="21"/>
        <v/>
      </c>
      <c r="T13" s="108" t="str">
        <f t="shared" si="22"/>
        <v/>
      </c>
      <c r="U13" s="108" t="str">
        <f t="shared" si="23"/>
        <v/>
      </c>
      <c r="V13" s="108" t="str">
        <f t="shared" si="24"/>
        <v/>
      </c>
      <c r="W13" s="108" t="str">
        <f t="shared" si="25"/>
        <v/>
      </c>
      <c r="X13" s="961"/>
      <c r="Y13" s="962"/>
      <c r="Z13" s="962"/>
      <c r="AA13" s="109"/>
      <c r="AB13" s="177"/>
      <c r="AC13" s="110">
        <v>200</v>
      </c>
      <c r="AD13" s="111">
        <f t="shared" si="2"/>
        <v>0</v>
      </c>
      <c r="AE13" s="111">
        <f xml:space="preserve"> IF(D13&lt;&gt;"",
SUMIF(Detailplan!$G$15:$G$228,Projektteam!D13,Detailplan!$K$15:$K$228)+AX13,0)</f>
        <v>0</v>
      </c>
      <c r="AF13" s="111">
        <f t="shared" si="3"/>
        <v>0</v>
      </c>
      <c r="AG13" s="477">
        <f t="shared" si="4"/>
        <v>0</v>
      </c>
      <c r="AH13" s="478">
        <f t="shared" si="5"/>
        <v>0</v>
      </c>
      <c r="AI13" s="478">
        <f t="shared" ref="AI13:AI31" si="34">AG13-AH13</f>
        <v>0</v>
      </c>
      <c r="AJ13" s="478">
        <f t="shared" si="6"/>
        <v>0</v>
      </c>
      <c r="AK13" s="111">
        <f xml:space="preserve"> SUMIFS(Detailplan!$K$15:$K$228,Detailplan!$G$15:$G$228,Projektteam!$D$11:$D$31,Detailplan!$J$15:$J$228,"=1")+AT13</f>
        <v>0</v>
      </c>
      <c r="AL13" s="478">
        <f t="shared" ref="AL13:AL31" si="35">IF($BM$3=TRUE,(AK13*AC13),AK13)</f>
        <v>0</v>
      </c>
      <c r="AM13" s="105"/>
      <c r="AN13" s="479"/>
      <c r="AO13" s="403" t="str">
        <f t="shared" si="0"/>
        <v/>
      </c>
      <c r="AP13" s="404" t="str">
        <f t="array" ref="AP13">IF(ROW(AO12)&gt;COUNTIF($AO:$AO,"&gt;*"),"",INDEX(AO:AO,SMALL(IF(AO$1:AO$1001&lt;&gt;"",ROW($1:$101)),ROWS($1:12))))</f>
        <v/>
      </c>
      <c r="AQ13" s="406">
        <f t="shared" si="7"/>
        <v>0</v>
      </c>
      <c r="AR13" s="406">
        <f t="shared" si="8"/>
        <v>0</v>
      </c>
      <c r="AS13" s="406">
        <f t="shared" si="9"/>
        <v>0</v>
      </c>
      <c r="AT13" s="480">
        <f t="shared" ref="AT13:AT31" si="36">SUM(AQ13:AS13)</f>
        <v>0</v>
      </c>
      <c r="AU13" s="406">
        <f t="shared" si="10"/>
        <v>0</v>
      </c>
      <c r="AV13" s="406">
        <f t="shared" si="11"/>
        <v>0</v>
      </c>
      <c r="AW13" s="406">
        <f t="shared" si="12"/>
        <v>0</v>
      </c>
      <c r="AX13" s="480">
        <f t="shared" si="28"/>
        <v>0</v>
      </c>
      <c r="AY13" s="406"/>
      <c r="AZ13" s="481" t="str">
        <f ca="1">IF(D13&lt;&gt;"",CONCATENATE(B13," ",C13," (",D13,"): ",' '!$A$197,": ",AD13," / ",' '!$A$199,": ",AF13," / ",' '!$A$198,": ",AK13,),"")</f>
        <v>Personne Externe (PeE): budget [h]: 0 / solde budget [h]: 0 / réalisées [h]: 0</v>
      </c>
      <c r="BA13" s="481" t="str">
        <f t="shared" si="13"/>
        <v>Personne Externe (PeE)</v>
      </c>
      <c r="BB13" s="482">
        <f t="shared" si="14"/>
        <v>0</v>
      </c>
      <c r="BC13" s="402" t="str">
        <f t="array" aca="1" ref="BC13" ca="1">IF(ROW(AZ12)&gt;COUNTIF($AZ:$AZ,"&gt;*"),"",INDEX(AZ:AZ,SMALL(IF(AZ$1:AZ$1001&lt;&gt;"",ROW($1:$101)),ROWS($1:12))))</f>
        <v/>
      </c>
      <c r="BD13" s="483"/>
      <c r="BE13" s="483"/>
      <c r="BF13" s="483"/>
      <c r="BG13" s="483"/>
      <c r="BH13" s="483"/>
      <c r="BI13" s="483"/>
      <c r="BJ13" s="483"/>
      <c r="BK13" s="483"/>
      <c r="BL13" s="484" t="b">
        <f t="shared" si="15"/>
        <v>0</v>
      </c>
      <c r="BM13" s="483"/>
    </row>
    <row r="14" spans="1:65" s="485" customFormat="1" ht="15.75" customHeight="1" x14ac:dyDescent="0.3">
      <c r="A14" s="475">
        <v>4</v>
      </c>
      <c r="B14" s="104"/>
      <c r="C14" s="105"/>
      <c r="D14" s="106" t="str">
        <f t="shared" si="1"/>
        <v/>
      </c>
      <c r="E14" s="107"/>
      <c r="F14" s="108"/>
      <c r="G14" s="108"/>
      <c r="H14" s="108"/>
      <c r="I14" s="108">
        <f t="shared" si="29"/>
        <v>1</v>
      </c>
      <c r="J14" s="108">
        <f t="shared" si="30"/>
        <v>2</v>
      </c>
      <c r="K14" s="108">
        <f t="shared" si="31"/>
        <v>3</v>
      </c>
      <c r="L14" s="108">
        <f t="shared" si="32"/>
        <v>4</v>
      </c>
      <c r="M14" s="476">
        <f t="shared" si="33"/>
        <v>5</v>
      </c>
      <c r="N14" s="118"/>
      <c r="O14" s="108"/>
      <c r="P14" s="108"/>
      <c r="Q14" s="108"/>
      <c r="R14" s="108"/>
      <c r="S14" s="108" t="str">
        <f t="shared" si="21"/>
        <v/>
      </c>
      <c r="T14" s="108" t="str">
        <f t="shared" si="22"/>
        <v/>
      </c>
      <c r="U14" s="108" t="str">
        <f t="shared" si="23"/>
        <v/>
      </c>
      <c r="V14" s="108" t="str">
        <f t="shared" si="24"/>
        <v/>
      </c>
      <c r="W14" s="108" t="str">
        <f t="shared" si="25"/>
        <v/>
      </c>
      <c r="X14" s="961"/>
      <c r="Y14" s="962"/>
      <c r="Z14" s="962"/>
      <c r="AA14" s="109"/>
      <c r="AB14" s="177"/>
      <c r="AC14" s="110"/>
      <c r="AD14" s="111">
        <f t="shared" si="2"/>
        <v>0</v>
      </c>
      <c r="AE14" s="111">
        <f xml:space="preserve"> IF(D14&lt;&gt;"",
SUMIF(Detailplan!$G$15:$G$228,Projektteam!D14,Detailplan!$K$15:$K$228)+AX14,0)</f>
        <v>0</v>
      </c>
      <c r="AF14" s="111">
        <f t="shared" si="3"/>
        <v>0</v>
      </c>
      <c r="AG14" s="477">
        <f t="shared" si="4"/>
        <v>0</v>
      </c>
      <c r="AH14" s="478">
        <f t="shared" si="5"/>
        <v>0</v>
      </c>
      <c r="AI14" s="478">
        <f t="shared" si="34"/>
        <v>0</v>
      </c>
      <c r="AJ14" s="478">
        <f t="shared" si="6"/>
        <v>0</v>
      </c>
      <c r="AK14" s="111">
        <f xml:space="preserve"> SUMIFS(Detailplan!$K$15:$K$228,Detailplan!$G$15:$G$228,Projektteam!$D$11:$D$31,Detailplan!$J$15:$J$228,"=1")+AT14</f>
        <v>0</v>
      </c>
      <c r="AL14" s="478">
        <f t="shared" si="35"/>
        <v>0</v>
      </c>
      <c r="AM14" s="105"/>
      <c r="AN14" s="479"/>
      <c r="AO14" s="403" t="str">
        <f t="shared" si="0"/>
        <v/>
      </c>
      <c r="AP14" s="404" t="str">
        <f t="array" ref="AP14">IF(ROW(AO13)&gt;COUNTIF($AO:$AO,"&gt;*"),"",INDEX(AO:AO,SMALL(IF(AO$1:AO$1001&lt;&gt;"",ROW($1:$101)),ROWS($1:13))))</f>
        <v/>
      </c>
      <c r="AQ14" s="406">
        <f t="shared" si="7"/>
        <v>0</v>
      </c>
      <c r="AR14" s="406">
        <f t="shared" si="8"/>
        <v>0</v>
      </c>
      <c r="AS14" s="406">
        <f t="shared" si="9"/>
        <v>0</v>
      </c>
      <c r="AT14" s="480">
        <f t="shared" si="36"/>
        <v>0</v>
      </c>
      <c r="AU14" s="406">
        <f t="shared" si="10"/>
        <v>0</v>
      </c>
      <c r="AV14" s="406">
        <f t="shared" si="11"/>
        <v>0</v>
      </c>
      <c r="AW14" s="406">
        <f t="shared" si="12"/>
        <v>0</v>
      </c>
      <c r="AX14" s="480">
        <f t="shared" si="28"/>
        <v>0</v>
      </c>
      <c r="AY14" s="406"/>
      <c r="AZ14" s="481" t="str">
        <f>IF(D14&lt;&gt;"",CONCATENATE(B14," ",C14," (",D14,"): ",' '!$A$197,": ",AD14," / ",' '!$A$199,": ",AF14," / ",' '!$A$198,": ",AK14,),"")</f>
        <v/>
      </c>
      <c r="BA14" s="481" t="str">
        <f t="shared" si="13"/>
        <v/>
      </c>
      <c r="BB14" s="482">
        <f t="shared" si="14"/>
        <v>0</v>
      </c>
      <c r="BC14" s="402" t="str">
        <f t="array" aca="1" ref="BC14" ca="1">IF(ROW(AZ13)&gt;COUNTIF($AZ:$AZ,"&gt;*"),"",INDEX(AZ:AZ,SMALL(IF(AZ$1:AZ$1001&lt;&gt;"",ROW($1:$101)),ROWS($1:13))))</f>
        <v/>
      </c>
      <c r="BD14" s="483"/>
      <c r="BE14" s="483"/>
      <c r="BF14" s="483"/>
      <c r="BG14" s="483"/>
      <c r="BH14" s="483"/>
      <c r="BI14" s="483"/>
      <c r="BJ14" s="483"/>
      <c r="BK14" s="483"/>
      <c r="BL14" s="484" t="b">
        <f t="shared" si="15"/>
        <v>0</v>
      </c>
      <c r="BM14" s="483"/>
    </row>
    <row r="15" spans="1:65" s="485" customFormat="1" ht="15.75" customHeight="1" x14ac:dyDescent="0.3">
      <c r="A15" s="475">
        <v>5</v>
      </c>
      <c r="B15" s="104"/>
      <c r="C15" s="105"/>
      <c r="D15" s="106" t="str">
        <f t="shared" si="1"/>
        <v/>
      </c>
      <c r="E15" s="107"/>
      <c r="F15" s="108"/>
      <c r="G15" s="108"/>
      <c r="H15" s="108"/>
      <c r="I15" s="108">
        <f t="shared" si="29"/>
        <v>1</v>
      </c>
      <c r="J15" s="108">
        <f t="shared" si="30"/>
        <v>2</v>
      </c>
      <c r="K15" s="108">
        <f t="shared" si="31"/>
        <v>3</v>
      </c>
      <c r="L15" s="108">
        <f t="shared" si="32"/>
        <v>4</v>
      </c>
      <c r="M15" s="476">
        <f t="shared" si="33"/>
        <v>5</v>
      </c>
      <c r="N15" s="118"/>
      <c r="O15" s="108"/>
      <c r="P15" s="108"/>
      <c r="Q15" s="108"/>
      <c r="R15" s="108"/>
      <c r="S15" s="108" t="str">
        <f t="shared" si="21"/>
        <v/>
      </c>
      <c r="T15" s="108" t="str">
        <f t="shared" si="22"/>
        <v/>
      </c>
      <c r="U15" s="108" t="str">
        <f t="shared" si="23"/>
        <v/>
      </c>
      <c r="V15" s="108" t="str">
        <f t="shared" si="24"/>
        <v/>
      </c>
      <c r="W15" s="108" t="str">
        <f t="shared" si="25"/>
        <v/>
      </c>
      <c r="X15" s="961"/>
      <c r="Y15" s="962"/>
      <c r="Z15" s="962"/>
      <c r="AA15" s="109"/>
      <c r="AB15" s="177"/>
      <c r="AC15" s="110"/>
      <c r="AD15" s="111">
        <f t="shared" si="2"/>
        <v>0</v>
      </c>
      <c r="AE15" s="111">
        <f xml:space="preserve"> IF(D15&lt;&gt;"",
SUMIF(Detailplan!$G$15:$G$228,Projektteam!D15,Detailplan!$K$15:$K$228)+AX15,0)</f>
        <v>0</v>
      </c>
      <c r="AF15" s="111">
        <f t="shared" si="3"/>
        <v>0</v>
      </c>
      <c r="AG15" s="477">
        <f t="shared" si="4"/>
        <v>0</v>
      </c>
      <c r="AH15" s="478">
        <f t="shared" si="5"/>
        <v>0</v>
      </c>
      <c r="AI15" s="478">
        <f t="shared" si="34"/>
        <v>0</v>
      </c>
      <c r="AJ15" s="478">
        <f t="shared" si="6"/>
        <v>0</v>
      </c>
      <c r="AK15" s="111">
        <f xml:space="preserve"> SUMIFS(Detailplan!$K$15:$K$228,Detailplan!$G$15:$G$228,Projektteam!$D$11:$D$31,Detailplan!$J$15:$J$228,"=1")+AT15</f>
        <v>0</v>
      </c>
      <c r="AL15" s="478">
        <f t="shared" si="35"/>
        <v>0</v>
      </c>
      <c r="AM15" s="105"/>
      <c r="AN15" s="479"/>
      <c r="AO15" s="403" t="str">
        <f t="shared" si="0"/>
        <v/>
      </c>
      <c r="AP15" s="404" t="str">
        <f t="array" ref="AP15">IF(ROW(AO14)&gt;COUNTIF($AO:$AO,"&gt;*"),"",INDEX(AO:AO,SMALL(IF(AO$1:AO$1001&lt;&gt;"",ROW($1:$101)),ROWS($1:14))))</f>
        <v/>
      </c>
      <c r="AQ15" s="406">
        <f t="shared" si="7"/>
        <v>0</v>
      </c>
      <c r="AR15" s="406">
        <f t="shared" si="8"/>
        <v>0</v>
      </c>
      <c r="AS15" s="406">
        <f t="shared" si="9"/>
        <v>0</v>
      </c>
      <c r="AT15" s="480">
        <f t="shared" si="36"/>
        <v>0</v>
      </c>
      <c r="AU15" s="406">
        <f t="shared" si="10"/>
        <v>0</v>
      </c>
      <c r="AV15" s="406">
        <f t="shared" si="11"/>
        <v>0</v>
      </c>
      <c r="AW15" s="406">
        <f t="shared" si="12"/>
        <v>0</v>
      </c>
      <c r="AX15" s="480">
        <f t="shared" si="28"/>
        <v>0</v>
      </c>
      <c r="AY15" s="406"/>
      <c r="AZ15" s="481" t="str">
        <f>IF(D15&lt;&gt;"",CONCATENATE(B15," ",C15," (",D15,"): ",' '!$A$197,": ",AD15," / ",' '!$A$199,": ",AF15," / ",' '!$A$198,": ",AK15,),"")</f>
        <v/>
      </c>
      <c r="BA15" s="481" t="str">
        <f t="shared" si="13"/>
        <v/>
      </c>
      <c r="BB15" s="482">
        <f t="shared" si="14"/>
        <v>0</v>
      </c>
      <c r="BC15" s="402" t="str">
        <f t="array" aca="1" ref="BC15" ca="1">IF(ROW(AZ14)&gt;COUNTIF($AZ:$AZ,"&gt;*"),"",INDEX(AZ:AZ,SMALL(IF(AZ$1:AZ$1001&lt;&gt;"",ROW($1:$101)),ROWS($1:14))))</f>
        <v/>
      </c>
      <c r="BD15" s="483"/>
      <c r="BE15" s="483"/>
      <c r="BF15" s="483"/>
      <c r="BG15" s="483"/>
      <c r="BH15" s="483"/>
      <c r="BI15" s="483"/>
      <c r="BJ15" s="483"/>
      <c r="BK15" s="483"/>
      <c r="BL15" s="484" t="b">
        <f t="shared" si="15"/>
        <v>0</v>
      </c>
      <c r="BM15" s="483"/>
    </row>
    <row r="16" spans="1:65" s="485" customFormat="1" ht="15.75" customHeight="1" x14ac:dyDescent="0.3">
      <c r="A16" s="475">
        <v>6</v>
      </c>
      <c r="B16" s="104"/>
      <c r="C16" s="105"/>
      <c r="D16" s="106" t="str">
        <f t="shared" ref="D16:D31" si="37">CONCATENATE(MID(B16,1,2),MID(C16,1,1))</f>
        <v/>
      </c>
      <c r="E16" s="107"/>
      <c r="F16" s="108"/>
      <c r="G16" s="108"/>
      <c r="H16" s="108"/>
      <c r="I16" s="108">
        <f t="shared" si="29"/>
        <v>1</v>
      </c>
      <c r="J16" s="108">
        <f t="shared" si="30"/>
        <v>2</v>
      </c>
      <c r="K16" s="108">
        <f t="shared" si="31"/>
        <v>3</v>
      </c>
      <c r="L16" s="108">
        <f t="shared" si="32"/>
        <v>4</v>
      </c>
      <c r="M16" s="476">
        <f t="shared" si="33"/>
        <v>5</v>
      </c>
      <c r="N16" s="118"/>
      <c r="O16" s="108"/>
      <c r="P16" s="108"/>
      <c r="Q16" s="108"/>
      <c r="R16" s="108"/>
      <c r="S16" s="108" t="str">
        <f t="shared" si="21"/>
        <v/>
      </c>
      <c r="T16" s="108" t="str">
        <f t="shared" si="22"/>
        <v/>
      </c>
      <c r="U16" s="108" t="str">
        <f t="shared" si="23"/>
        <v/>
      </c>
      <c r="V16" s="108" t="str">
        <f t="shared" si="24"/>
        <v/>
      </c>
      <c r="W16" s="108" t="str">
        <f t="shared" si="25"/>
        <v/>
      </c>
      <c r="X16" s="961"/>
      <c r="Y16" s="962"/>
      <c r="Z16" s="962"/>
      <c r="AA16" s="109"/>
      <c r="AB16" s="177"/>
      <c r="AC16" s="110"/>
      <c r="AD16" s="111">
        <f t="shared" si="2"/>
        <v>0</v>
      </c>
      <c r="AE16" s="111">
        <f xml:space="preserve"> IF(D16&lt;&gt;"",
SUMIF(Detailplan!$G$15:$G$228,Projektteam!D16,Detailplan!$K$15:$K$228)+AX16,0)</f>
        <v>0</v>
      </c>
      <c r="AF16" s="111">
        <f t="shared" si="3"/>
        <v>0</v>
      </c>
      <c r="AG16" s="477">
        <f t="shared" si="4"/>
        <v>0</v>
      </c>
      <c r="AH16" s="478">
        <f t="shared" si="5"/>
        <v>0</v>
      </c>
      <c r="AI16" s="478">
        <f t="shared" si="34"/>
        <v>0</v>
      </c>
      <c r="AJ16" s="478">
        <f t="shared" si="6"/>
        <v>0</v>
      </c>
      <c r="AK16" s="111">
        <f xml:space="preserve"> SUMIFS(Detailplan!$K$15:$K$228,Detailplan!$G$15:$G$228,Projektteam!$D$11:$D$31,Detailplan!$J$15:$J$228,"=1")+AT16</f>
        <v>0</v>
      </c>
      <c r="AL16" s="478">
        <f t="shared" si="35"/>
        <v>0</v>
      </c>
      <c r="AM16" s="105"/>
      <c r="AN16" s="479"/>
      <c r="AO16" s="403" t="str">
        <f t="shared" si="0"/>
        <v/>
      </c>
      <c r="AP16" s="404" t="str">
        <f t="array" ref="AP16">IF(ROW(AO15)&gt;COUNTIF($AO:$AO,"&gt;*"),"",INDEX(AO:AO,SMALL(IF(AO$1:AO$1001&lt;&gt;"",ROW($1:$101)),ROWS($1:15))))</f>
        <v/>
      </c>
      <c r="AQ16" s="406">
        <f t="shared" si="7"/>
        <v>0</v>
      </c>
      <c r="AR16" s="406">
        <f t="shared" si="8"/>
        <v>0</v>
      </c>
      <c r="AS16" s="406">
        <f t="shared" si="9"/>
        <v>0</v>
      </c>
      <c r="AT16" s="480">
        <f t="shared" si="36"/>
        <v>0</v>
      </c>
      <c r="AU16" s="406">
        <f t="shared" si="10"/>
        <v>0</v>
      </c>
      <c r="AV16" s="406">
        <f t="shared" si="11"/>
        <v>0</v>
      </c>
      <c r="AW16" s="406">
        <f t="shared" si="12"/>
        <v>0</v>
      </c>
      <c r="AX16" s="480">
        <f t="shared" si="28"/>
        <v>0</v>
      </c>
      <c r="AY16" s="406"/>
      <c r="AZ16" s="481" t="str">
        <f>IF(D16&lt;&gt;"",CONCATENATE(B16," ",C16," (",D16,"): ",' '!$A$197,": ",AD16," / ",' '!$A$199,": ",AF16," / ",' '!$A$198,": ",AK16,),"")</f>
        <v/>
      </c>
      <c r="BA16" s="481" t="str">
        <f t="shared" si="13"/>
        <v/>
      </c>
      <c r="BB16" s="482">
        <f t="shared" si="14"/>
        <v>0</v>
      </c>
      <c r="BC16" s="402" t="str">
        <f t="array" aca="1" ref="BC16" ca="1">IF(ROW(AZ15)&gt;COUNTIF($AZ:$AZ,"&gt;*"),"",INDEX(AZ:AZ,SMALL(IF(AZ$1:AZ$1001&lt;&gt;"",ROW($1:$101)),ROWS($1:15))))</f>
        <v/>
      </c>
      <c r="BD16" s="483"/>
      <c r="BE16" s="483"/>
      <c r="BF16" s="483"/>
      <c r="BG16" s="483"/>
      <c r="BH16" s="483"/>
      <c r="BI16" s="483"/>
      <c r="BJ16" s="483"/>
      <c r="BK16" s="483"/>
      <c r="BL16" s="484" t="b">
        <f t="shared" si="15"/>
        <v>0</v>
      </c>
      <c r="BM16" s="483"/>
    </row>
    <row r="17" spans="1:64" s="485" customFormat="1" ht="15.75" customHeight="1" x14ac:dyDescent="0.3">
      <c r="A17" s="475">
        <v>7</v>
      </c>
      <c r="B17" s="104"/>
      <c r="C17" s="105"/>
      <c r="D17" s="106" t="str">
        <f t="shared" si="37"/>
        <v/>
      </c>
      <c r="E17" s="107"/>
      <c r="F17" s="108"/>
      <c r="G17" s="108"/>
      <c r="H17" s="108"/>
      <c r="I17" s="108">
        <f t="shared" si="29"/>
        <v>1</v>
      </c>
      <c r="J17" s="108">
        <f t="shared" si="30"/>
        <v>2</v>
      </c>
      <c r="K17" s="108">
        <f t="shared" si="31"/>
        <v>3</v>
      </c>
      <c r="L17" s="108">
        <f t="shared" si="32"/>
        <v>4</v>
      </c>
      <c r="M17" s="476">
        <f t="shared" si="33"/>
        <v>5</v>
      </c>
      <c r="N17" s="118"/>
      <c r="O17" s="108"/>
      <c r="P17" s="108"/>
      <c r="Q17" s="108"/>
      <c r="R17" s="108"/>
      <c r="S17" s="108" t="str">
        <f t="shared" si="21"/>
        <v/>
      </c>
      <c r="T17" s="108" t="str">
        <f t="shared" si="22"/>
        <v/>
      </c>
      <c r="U17" s="108" t="str">
        <f t="shared" si="23"/>
        <v/>
      </c>
      <c r="V17" s="108" t="str">
        <f t="shared" si="24"/>
        <v/>
      </c>
      <c r="W17" s="108" t="str">
        <f t="shared" si="25"/>
        <v/>
      </c>
      <c r="X17" s="961"/>
      <c r="Y17" s="962"/>
      <c r="Z17" s="962"/>
      <c r="AA17" s="109"/>
      <c r="AB17" s="177"/>
      <c r="AC17" s="110"/>
      <c r="AD17" s="111">
        <f t="shared" si="2"/>
        <v>0</v>
      </c>
      <c r="AE17" s="111">
        <f xml:space="preserve"> IF(D17&lt;&gt;"",
SUMIF(Detailplan!$G$15:$G$228,Projektteam!D17,Detailplan!$K$15:$K$228)+AX17,0)</f>
        <v>0</v>
      </c>
      <c r="AF17" s="111">
        <f t="shared" si="3"/>
        <v>0</v>
      </c>
      <c r="AG17" s="477">
        <f t="shared" si="4"/>
        <v>0</v>
      </c>
      <c r="AH17" s="478">
        <f t="shared" si="5"/>
        <v>0</v>
      </c>
      <c r="AI17" s="478">
        <f t="shared" si="34"/>
        <v>0</v>
      </c>
      <c r="AJ17" s="478">
        <f t="shared" si="6"/>
        <v>0</v>
      </c>
      <c r="AK17" s="111">
        <f xml:space="preserve"> SUMIFS(Detailplan!$K$15:$K$228,Detailplan!$G$15:$G$228,Projektteam!$D$11:$D$31,Detailplan!$J$15:$J$228,"=1")+AT17</f>
        <v>0</v>
      </c>
      <c r="AL17" s="478">
        <f t="shared" si="35"/>
        <v>0</v>
      </c>
      <c r="AM17" s="105"/>
      <c r="AN17" s="479"/>
      <c r="AO17" s="403" t="str">
        <f t="shared" si="0"/>
        <v/>
      </c>
      <c r="AP17" s="404" t="str">
        <f t="array" ref="AP17">IF(ROW(AO16)&gt;COUNTIF($AO:$AO,"&gt;*"),"",INDEX(AO:AO,SMALL(IF(AO$1:AO$1001&lt;&gt;"",ROW($1:$101)),ROWS($1:16))))</f>
        <v/>
      </c>
      <c r="AQ17" s="406">
        <f t="shared" si="7"/>
        <v>0</v>
      </c>
      <c r="AR17" s="406">
        <f t="shared" si="8"/>
        <v>0</v>
      </c>
      <c r="AS17" s="406">
        <f t="shared" si="9"/>
        <v>0</v>
      </c>
      <c r="AT17" s="480">
        <f t="shared" si="36"/>
        <v>0</v>
      </c>
      <c r="AU17" s="406">
        <f t="shared" si="10"/>
        <v>0</v>
      </c>
      <c r="AV17" s="406">
        <f t="shared" si="11"/>
        <v>0</v>
      </c>
      <c r="AW17" s="406">
        <f t="shared" si="12"/>
        <v>0</v>
      </c>
      <c r="AX17" s="480">
        <f t="shared" si="28"/>
        <v>0</v>
      </c>
      <c r="AY17" s="406"/>
      <c r="AZ17" s="481" t="str">
        <f>IF(D17&lt;&gt;"",CONCATENATE(B17," ",C17," (",D17,"): ",' '!$A$197,": ",AD17," / ",' '!$A$199,": ",AF17," / ",' '!$A$198,": ",AK17,),"")</f>
        <v/>
      </c>
      <c r="BA17" s="481" t="str">
        <f t="shared" si="13"/>
        <v/>
      </c>
      <c r="BB17" s="482">
        <f t="shared" si="14"/>
        <v>0</v>
      </c>
      <c r="BC17" s="402" t="str">
        <f t="array" aca="1" ref="BC17" ca="1">IF(ROW(AZ16)&gt;COUNTIF($AZ:$AZ,"&gt;*"),"",INDEX(AZ:AZ,SMALL(IF(AZ$1:AZ$1001&lt;&gt;"",ROW($1:$101)),ROWS($1:16))))</f>
        <v/>
      </c>
      <c r="BD17" s="483"/>
      <c r="BE17" s="483"/>
      <c r="BF17" s="483"/>
      <c r="BG17" s="483"/>
      <c r="BH17" s="483"/>
      <c r="BI17" s="483"/>
      <c r="BJ17" s="483"/>
      <c r="BK17" s="483"/>
      <c r="BL17" s="484" t="b">
        <f t="shared" si="15"/>
        <v>0</v>
      </c>
    </row>
    <row r="18" spans="1:64" s="485" customFormat="1" ht="15.75" customHeight="1" x14ac:dyDescent="0.3">
      <c r="A18" s="475">
        <v>8</v>
      </c>
      <c r="B18" s="104"/>
      <c r="C18" s="105"/>
      <c r="D18" s="106" t="str">
        <f t="shared" si="37"/>
        <v/>
      </c>
      <c r="E18" s="107"/>
      <c r="F18" s="108"/>
      <c r="G18" s="108"/>
      <c r="H18" s="108"/>
      <c r="I18" s="108">
        <f t="shared" si="29"/>
        <v>1</v>
      </c>
      <c r="J18" s="108">
        <f t="shared" si="30"/>
        <v>2</v>
      </c>
      <c r="K18" s="108">
        <f t="shared" si="31"/>
        <v>3</v>
      </c>
      <c r="L18" s="108">
        <f t="shared" si="32"/>
        <v>4</v>
      </c>
      <c r="M18" s="476">
        <f t="shared" si="33"/>
        <v>5</v>
      </c>
      <c r="N18" s="118"/>
      <c r="O18" s="108"/>
      <c r="P18" s="108"/>
      <c r="Q18" s="108"/>
      <c r="R18" s="108"/>
      <c r="S18" s="108" t="str">
        <f t="shared" si="21"/>
        <v/>
      </c>
      <c r="T18" s="108" t="str">
        <f t="shared" si="22"/>
        <v/>
      </c>
      <c r="U18" s="108" t="str">
        <f t="shared" si="23"/>
        <v/>
      </c>
      <c r="V18" s="108" t="str">
        <f t="shared" si="24"/>
        <v/>
      </c>
      <c r="W18" s="108" t="str">
        <f t="shared" si="25"/>
        <v/>
      </c>
      <c r="X18" s="961"/>
      <c r="Y18" s="962"/>
      <c r="Z18" s="962"/>
      <c r="AA18" s="109"/>
      <c r="AB18" s="177"/>
      <c r="AC18" s="110"/>
      <c r="AD18" s="111">
        <f t="shared" si="2"/>
        <v>0</v>
      </c>
      <c r="AE18" s="111">
        <f xml:space="preserve"> IF(D18&lt;&gt;"",
SUMIF(Detailplan!$G$15:$G$228,Projektteam!D18,Detailplan!$K$15:$K$228)+AX18,0)</f>
        <v>0</v>
      </c>
      <c r="AF18" s="111">
        <f t="shared" si="3"/>
        <v>0</v>
      </c>
      <c r="AG18" s="477">
        <f t="shared" si="4"/>
        <v>0</v>
      </c>
      <c r="AH18" s="478">
        <f t="shared" si="5"/>
        <v>0</v>
      </c>
      <c r="AI18" s="478">
        <f t="shared" si="34"/>
        <v>0</v>
      </c>
      <c r="AJ18" s="478">
        <f t="shared" si="6"/>
        <v>0</v>
      </c>
      <c r="AK18" s="111">
        <f xml:space="preserve"> SUMIFS(Detailplan!$K$15:$K$228,Detailplan!$G$15:$G$228,Projektteam!$D$11:$D$31,Detailplan!$J$15:$J$228,"=1")+AT18</f>
        <v>0</v>
      </c>
      <c r="AL18" s="478">
        <f t="shared" si="35"/>
        <v>0</v>
      </c>
      <c r="AM18" s="105"/>
      <c r="AN18" s="479"/>
      <c r="AO18" s="403" t="str">
        <f t="shared" si="0"/>
        <v/>
      </c>
      <c r="AP18" s="404" t="str">
        <f t="array" ref="AP18">IF(ROW(AO17)&gt;COUNTIF($AO:$AO,"&gt;*"),"",INDEX(AO:AO,SMALL(IF(AO$1:AO$1001&lt;&gt;"",ROW($1:$101)),ROWS($1:17))))</f>
        <v/>
      </c>
      <c r="AQ18" s="406">
        <f t="shared" si="7"/>
        <v>0</v>
      </c>
      <c r="AR18" s="406">
        <f t="shared" si="8"/>
        <v>0</v>
      </c>
      <c r="AS18" s="406">
        <f t="shared" si="9"/>
        <v>0</v>
      </c>
      <c r="AT18" s="480">
        <f t="shared" si="36"/>
        <v>0</v>
      </c>
      <c r="AU18" s="406">
        <f t="shared" si="10"/>
        <v>0</v>
      </c>
      <c r="AV18" s="406">
        <f t="shared" si="11"/>
        <v>0</v>
      </c>
      <c r="AW18" s="406">
        <f t="shared" si="12"/>
        <v>0</v>
      </c>
      <c r="AX18" s="480">
        <f t="shared" si="28"/>
        <v>0</v>
      </c>
      <c r="AY18" s="406"/>
      <c r="AZ18" s="481" t="str">
        <f>IF(D18&lt;&gt;"",CONCATENATE(B18," ",C18," (",D18,"): ",' '!$A$197,": ",AD18," / ",' '!$A$199,": ",AF18," / ",' '!$A$198,": ",AK18,),"")</f>
        <v/>
      </c>
      <c r="BA18" s="481" t="str">
        <f t="shared" si="13"/>
        <v/>
      </c>
      <c r="BB18" s="482">
        <f t="shared" si="14"/>
        <v>0</v>
      </c>
      <c r="BC18" s="402" t="str">
        <f t="array" aca="1" ref="BC18" ca="1">IF(ROW(AZ17)&gt;COUNTIF($AZ:$AZ,"&gt;*"),"",INDEX(AZ:AZ,SMALL(IF(AZ$1:AZ$1001&lt;&gt;"",ROW($1:$101)),ROWS($1:17))))</f>
        <v/>
      </c>
      <c r="BD18" s="483"/>
      <c r="BE18" s="483"/>
      <c r="BF18" s="483"/>
      <c r="BG18" s="483"/>
      <c r="BH18" s="483"/>
      <c r="BI18" s="483"/>
      <c r="BJ18" s="483"/>
      <c r="BK18" s="483"/>
      <c r="BL18" s="484" t="b">
        <f t="shared" si="15"/>
        <v>0</v>
      </c>
    </row>
    <row r="19" spans="1:64" s="485" customFormat="1" ht="15.75" customHeight="1" x14ac:dyDescent="0.3">
      <c r="A19" s="475">
        <v>9</v>
      </c>
      <c r="B19" s="104"/>
      <c r="C19" s="105"/>
      <c r="D19" s="106" t="str">
        <f t="shared" si="37"/>
        <v/>
      </c>
      <c r="E19" s="107"/>
      <c r="F19" s="108"/>
      <c r="G19" s="108"/>
      <c r="H19" s="108"/>
      <c r="I19" s="108">
        <f t="shared" si="29"/>
        <v>1</v>
      </c>
      <c r="J19" s="108">
        <f t="shared" si="30"/>
        <v>2</v>
      </c>
      <c r="K19" s="108">
        <f t="shared" si="31"/>
        <v>3</v>
      </c>
      <c r="L19" s="108">
        <f t="shared" si="32"/>
        <v>4</v>
      </c>
      <c r="M19" s="476">
        <f t="shared" si="33"/>
        <v>5</v>
      </c>
      <c r="N19" s="118"/>
      <c r="O19" s="108"/>
      <c r="P19" s="108"/>
      <c r="Q19" s="108"/>
      <c r="R19" s="108"/>
      <c r="S19" s="108" t="str">
        <f t="shared" si="21"/>
        <v/>
      </c>
      <c r="T19" s="108" t="str">
        <f t="shared" si="22"/>
        <v/>
      </c>
      <c r="U19" s="108" t="str">
        <f t="shared" si="23"/>
        <v/>
      </c>
      <c r="V19" s="108" t="str">
        <f t="shared" si="24"/>
        <v/>
      </c>
      <c r="W19" s="108" t="str">
        <f t="shared" si="25"/>
        <v/>
      </c>
      <c r="X19" s="961"/>
      <c r="Y19" s="962"/>
      <c r="Z19" s="962"/>
      <c r="AA19" s="109"/>
      <c r="AB19" s="177"/>
      <c r="AC19" s="110"/>
      <c r="AD19" s="111">
        <f t="shared" si="2"/>
        <v>0</v>
      </c>
      <c r="AE19" s="111">
        <f xml:space="preserve"> IF(D19&lt;&gt;"",
SUMIF(Detailplan!$G$15:$G$228,Projektteam!D19,Detailplan!$K$15:$K$228)+AX19,0)</f>
        <v>0</v>
      </c>
      <c r="AF19" s="111">
        <f t="shared" si="3"/>
        <v>0</v>
      </c>
      <c r="AG19" s="477">
        <f t="shared" si="4"/>
        <v>0</v>
      </c>
      <c r="AH19" s="478">
        <f t="shared" si="5"/>
        <v>0</v>
      </c>
      <c r="AI19" s="478">
        <f t="shared" si="34"/>
        <v>0</v>
      </c>
      <c r="AJ19" s="478">
        <f t="shared" si="6"/>
        <v>0</v>
      </c>
      <c r="AK19" s="111">
        <f xml:space="preserve"> SUMIFS(Detailplan!$K$15:$K$228,Detailplan!$G$15:$G$228,Projektteam!$D$11:$D$31,Detailplan!$J$15:$J$228,"=1")+AT19</f>
        <v>0</v>
      </c>
      <c r="AL19" s="478">
        <f t="shared" si="35"/>
        <v>0</v>
      </c>
      <c r="AM19" s="105"/>
      <c r="AN19" s="479"/>
      <c r="AO19" s="403" t="str">
        <f t="shared" si="0"/>
        <v/>
      </c>
      <c r="AP19" s="404" t="str">
        <f t="array" ref="AP19">IF(ROW(AO18)&gt;COUNTIF($AO:$AO,"&gt;*"),"",INDEX(AO:AO,SMALL(IF(AO$1:AO$1001&lt;&gt;"",ROW($1:$101)),ROWS($1:18))))</f>
        <v/>
      </c>
      <c r="AQ19" s="406">
        <f t="shared" si="7"/>
        <v>0</v>
      </c>
      <c r="AR19" s="406">
        <f t="shared" si="8"/>
        <v>0</v>
      </c>
      <c r="AS19" s="406">
        <f t="shared" si="9"/>
        <v>0</v>
      </c>
      <c r="AT19" s="480">
        <f t="shared" si="36"/>
        <v>0</v>
      </c>
      <c r="AU19" s="406">
        <f t="shared" si="10"/>
        <v>0</v>
      </c>
      <c r="AV19" s="406">
        <f t="shared" si="11"/>
        <v>0</v>
      </c>
      <c r="AW19" s="406">
        <f t="shared" si="12"/>
        <v>0</v>
      </c>
      <c r="AX19" s="480">
        <f t="shared" si="28"/>
        <v>0</v>
      </c>
      <c r="AY19" s="406"/>
      <c r="AZ19" s="481" t="str">
        <f>IF(D19&lt;&gt;"",CONCATENATE(B19," ",C19," (",D19,"): ",' '!$A$197,": ",AD19," / ",' '!$A$199,": ",AF19," / ",' '!$A$198,": ",AK19,),"")</f>
        <v/>
      </c>
      <c r="BA19" s="481" t="str">
        <f t="shared" si="13"/>
        <v/>
      </c>
      <c r="BB19" s="482">
        <f t="shared" si="14"/>
        <v>0</v>
      </c>
      <c r="BC19" s="402" t="str">
        <f t="array" aca="1" ref="BC19" ca="1">IF(ROW(AZ18)&gt;COUNTIF($AZ:$AZ,"&gt;*"),"",INDEX(AZ:AZ,SMALL(IF(AZ$1:AZ$1001&lt;&gt;"",ROW($1:$101)),ROWS($1:18))))</f>
        <v/>
      </c>
      <c r="BD19" s="483"/>
      <c r="BE19" s="483"/>
      <c r="BF19" s="483"/>
      <c r="BG19" s="483"/>
      <c r="BH19" s="483"/>
      <c r="BI19" s="483"/>
      <c r="BJ19" s="483"/>
      <c r="BK19" s="483"/>
      <c r="BL19" s="484" t="b">
        <f t="shared" si="15"/>
        <v>0</v>
      </c>
    </row>
    <row r="20" spans="1:64" s="485" customFormat="1" ht="15.75" customHeight="1" x14ac:dyDescent="0.3">
      <c r="A20" s="475">
        <v>10</v>
      </c>
      <c r="B20" s="104"/>
      <c r="C20" s="105"/>
      <c r="D20" s="106" t="str">
        <f t="shared" si="37"/>
        <v/>
      </c>
      <c r="E20" s="107"/>
      <c r="F20" s="108"/>
      <c r="G20" s="108"/>
      <c r="H20" s="108"/>
      <c r="I20" s="108">
        <f t="shared" si="29"/>
        <v>1</v>
      </c>
      <c r="J20" s="108">
        <f t="shared" si="30"/>
        <v>2</v>
      </c>
      <c r="K20" s="108">
        <f t="shared" si="31"/>
        <v>3</v>
      </c>
      <c r="L20" s="108">
        <f t="shared" si="32"/>
        <v>4</v>
      </c>
      <c r="M20" s="476">
        <f t="shared" si="33"/>
        <v>5</v>
      </c>
      <c r="N20" s="118"/>
      <c r="O20" s="108"/>
      <c r="P20" s="108"/>
      <c r="Q20" s="108"/>
      <c r="R20" s="108"/>
      <c r="S20" s="108" t="str">
        <f t="shared" si="21"/>
        <v/>
      </c>
      <c r="T20" s="108" t="str">
        <f t="shared" si="22"/>
        <v/>
      </c>
      <c r="U20" s="108" t="str">
        <f t="shared" si="23"/>
        <v/>
      </c>
      <c r="V20" s="108" t="str">
        <f t="shared" si="24"/>
        <v/>
      </c>
      <c r="W20" s="108" t="str">
        <f t="shared" si="25"/>
        <v/>
      </c>
      <c r="X20" s="961"/>
      <c r="Y20" s="962"/>
      <c r="Z20" s="962"/>
      <c r="AA20" s="109"/>
      <c r="AB20" s="177"/>
      <c r="AC20" s="110"/>
      <c r="AD20" s="111">
        <f t="shared" si="2"/>
        <v>0</v>
      </c>
      <c r="AE20" s="111">
        <f xml:space="preserve"> IF(D20&lt;&gt;"",
SUMIF(Detailplan!$G$15:$G$228,Projektteam!D20,Detailplan!$K$15:$K$228)+AX20,0)</f>
        <v>0</v>
      </c>
      <c r="AF20" s="111">
        <f t="shared" si="3"/>
        <v>0</v>
      </c>
      <c r="AG20" s="477">
        <f t="shared" si="4"/>
        <v>0</v>
      </c>
      <c r="AH20" s="478">
        <f t="shared" si="5"/>
        <v>0</v>
      </c>
      <c r="AI20" s="478">
        <f t="shared" si="34"/>
        <v>0</v>
      </c>
      <c r="AJ20" s="478">
        <f t="shared" si="6"/>
        <v>0</v>
      </c>
      <c r="AK20" s="111">
        <f xml:space="preserve"> SUMIFS(Detailplan!$K$15:$K$228,Detailplan!$G$15:$G$228,Projektteam!$D$11:$D$31,Detailplan!$J$15:$J$228,"=1")+AT20</f>
        <v>0</v>
      </c>
      <c r="AL20" s="478">
        <f t="shared" si="35"/>
        <v>0</v>
      </c>
      <c r="AM20" s="105"/>
      <c r="AN20" s="479"/>
      <c r="AO20" s="403" t="str">
        <f t="shared" si="0"/>
        <v/>
      </c>
      <c r="AP20" s="404" t="str">
        <f t="array" ref="AP20">IF(ROW(AO19)&gt;COUNTIF($AO:$AO,"&gt;*"),"",INDEX(AO:AO,SMALL(IF(AO$1:AO$1001&lt;&gt;"",ROW($1:$101)),ROWS($1:19))))</f>
        <v/>
      </c>
      <c r="AQ20" s="406">
        <f t="shared" si="7"/>
        <v>0</v>
      </c>
      <c r="AR20" s="406">
        <f t="shared" si="8"/>
        <v>0</v>
      </c>
      <c r="AS20" s="406">
        <f t="shared" si="9"/>
        <v>0</v>
      </c>
      <c r="AT20" s="480">
        <f t="shared" si="36"/>
        <v>0</v>
      </c>
      <c r="AU20" s="406">
        <f t="shared" si="10"/>
        <v>0</v>
      </c>
      <c r="AV20" s="406">
        <f t="shared" si="11"/>
        <v>0</v>
      </c>
      <c r="AW20" s="406">
        <f t="shared" si="12"/>
        <v>0</v>
      </c>
      <c r="AX20" s="480">
        <f t="shared" si="28"/>
        <v>0</v>
      </c>
      <c r="AY20" s="406"/>
      <c r="AZ20" s="481" t="str">
        <f>IF(D20&lt;&gt;"",CONCATENATE(B20," ",C20," (",D20,"): ",' '!$A$197,": ",AD20," / ",' '!$A$199,": ",AF20," / ",' '!$A$198,": ",AK20,),"")</f>
        <v/>
      </c>
      <c r="BA20" s="481" t="str">
        <f t="shared" si="13"/>
        <v/>
      </c>
      <c r="BB20" s="482">
        <f t="shared" si="14"/>
        <v>0</v>
      </c>
      <c r="BC20" s="402" t="str">
        <f t="array" aca="1" ref="BC20" ca="1">IF(ROW(AZ19)&gt;COUNTIF($AZ:$AZ,"&gt;*"),"",INDEX(AZ:AZ,SMALL(IF(AZ$1:AZ$1001&lt;&gt;"",ROW($1:$101)),ROWS($1:19))))</f>
        <v/>
      </c>
      <c r="BD20" s="483"/>
      <c r="BE20" s="483"/>
      <c r="BF20" s="483"/>
      <c r="BG20" s="483"/>
      <c r="BH20" s="483"/>
      <c r="BI20" s="483"/>
      <c r="BJ20" s="483"/>
      <c r="BK20" s="483"/>
      <c r="BL20" s="484" t="b">
        <f t="shared" si="15"/>
        <v>0</v>
      </c>
    </row>
    <row r="21" spans="1:64" s="485" customFormat="1" ht="15.75" customHeight="1" x14ac:dyDescent="0.3">
      <c r="A21" s="475">
        <v>11</v>
      </c>
      <c r="B21" s="104"/>
      <c r="C21" s="105"/>
      <c r="D21" s="106" t="str">
        <f t="shared" si="37"/>
        <v/>
      </c>
      <c r="E21" s="107"/>
      <c r="F21" s="108"/>
      <c r="G21" s="108"/>
      <c r="H21" s="108"/>
      <c r="I21" s="108">
        <f t="shared" si="29"/>
        <v>1</v>
      </c>
      <c r="J21" s="108">
        <f t="shared" si="30"/>
        <v>2</v>
      </c>
      <c r="K21" s="108">
        <f t="shared" si="31"/>
        <v>3</v>
      </c>
      <c r="L21" s="108">
        <f t="shared" si="32"/>
        <v>4</v>
      </c>
      <c r="M21" s="476">
        <f t="shared" si="33"/>
        <v>5</v>
      </c>
      <c r="N21" s="118"/>
      <c r="O21" s="108"/>
      <c r="P21" s="108"/>
      <c r="Q21" s="108"/>
      <c r="R21" s="108"/>
      <c r="S21" s="108" t="str">
        <f t="shared" si="21"/>
        <v/>
      </c>
      <c r="T21" s="108" t="str">
        <f t="shared" si="22"/>
        <v/>
      </c>
      <c r="U21" s="108" t="str">
        <f t="shared" si="23"/>
        <v/>
      </c>
      <c r="V21" s="108" t="str">
        <f t="shared" si="24"/>
        <v/>
      </c>
      <c r="W21" s="108" t="str">
        <f t="shared" si="25"/>
        <v/>
      </c>
      <c r="X21" s="961"/>
      <c r="Y21" s="962"/>
      <c r="Z21" s="962"/>
      <c r="AA21" s="109"/>
      <c r="AB21" s="177"/>
      <c r="AC21" s="110"/>
      <c r="AD21" s="111">
        <f t="shared" si="2"/>
        <v>0</v>
      </c>
      <c r="AE21" s="111">
        <f xml:space="preserve"> IF(D21&lt;&gt;"",
SUMIF(Detailplan!$G$15:$G$228,Projektteam!D21,Detailplan!$K$15:$K$228)+AX21,0)</f>
        <v>0</v>
      </c>
      <c r="AF21" s="111">
        <f t="shared" si="3"/>
        <v>0</v>
      </c>
      <c r="AG21" s="477">
        <f t="shared" si="4"/>
        <v>0</v>
      </c>
      <c r="AH21" s="478">
        <f t="shared" si="5"/>
        <v>0</v>
      </c>
      <c r="AI21" s="478">
        <f t="shared" si="34"/>
        <v>0</v>
      </c>
      <c r="AJ21" s="478">
        <f t="shared" si="6"/>
        <v>0</v>
      </c>
      <c r="AK21" s="111">
        <f xml:space="preserve"> SUMIFS(Detailplan!$K$15:$K$228,Detailplan!$G$15:$G$228,Projektteam!$D$11:$D$31,Detailplan!$J$15:$J$228,"=1")+AT21</f>
        <v>0</v>
      </c>
      <c r="AL21" s="478">
        <f t="shared" si="35"/>
        <v>0</v>
      </c>
      <c r="AM21" s="105"/>
      <c r="AN21" s="479"/>
      <c r="AO21" s="403" t="str">
        <f t="shared" si="0"/>
        <v/>
      </c>
      <c r="AP21" s="404" t="str">
        <f t="array" ref="AP21">IF(ROW(AO20)&gt;COUNTIF($AO:$AO,"&gt;*"),"",INDEX(AO:AO,SMALL(IF(AO$1:AO$1001&lt;&gt;"",ROW($1:$101)),ROWS($1:20))))</f>
        <v/>
      </c>
      <c r="AQ21" s="406">
        <f t="shared" si="7"/>
        <v>0</v>
      </c>
      <c r="AR21" s="406">
        <f t="shared" si="8"/>
        <v>0</v>
      </c>
      <c r="AS21" s="406">
        <f t="shared" si="9"/>
        <v>0</v>
      </c>
      <c r="AT21" s="480">
        <f t="shared" si="36"/>
        <v>0</v>
      </c>
      <c r="AU21" s="406">
        <f t="shared" si="10"/>
        <v>0</v>
      </c>
      <c r="AV21" s="406">
        <f t="shared" si="11"/>
        <v>0</v>
      </c>
      <c r="AW21" s="406">
        <f t="shared" si="12"/>
        <v>0</v>
      </c>
      <c r="AX21" s="480">
        <f t="shared" si="28"/>
        <v>0</v>
      </c>
      <c r="AY21" s="406"/>
      <c r="AZ21" s="481" t="str">
        <f>IF(D21&lt;&gt;"",CONCATENATE(B21," ",C21," (",D21,"): ",' '!$A$197,": ",AD21," / ",' '!$A$199,": ",AF21," / ",' '!$A$198,": ",AK21,),"")</f>
        <v/>
      </c>
      <c r="BA21" s="481" t="str">
        <f t="shared" si="13"/>
        <v/>
      </c>
      <c r="BB21" s="482">
        <f t="shared" si="14"/>
        <v>0</v>
      </c>
      <c r="BC21" s="402" t="str">
        <f t="array" aca="1" ref="BC21" ca="1">IF(ROW(AZ20)&gt;COUNTIF($AZ:$AZ,"&gt;*"),"",INDEX(AZ:AZ,SMALL(IF(AZ$1:AZ$1001&lt;&gt;"",ROW($1:$101)),ROWS($1:20))))</f>
        <v/>
      </c>
      <c r="BD21" s="483"/>
      <c r="BE21" s="483"/>
      <c r="BF21" s="483"/>
      <c r="BG21" s="483"/>
      <c r="BH21" s="483"/>
      <c r="BI21" s="483"/>
      <c r="BJ21" s="483"/>
      <c r="BK21" s="483"/>
      <c r="BL21" s="484" t="b">
        <f t="shared" si="15"/>
        <v>0</v>
      </c>
    </row>
    <row r="22" spans="1:64" s="485" customFormat="1" ht="15.75" customHeight="1" x14ac:dyDescent="0.3">
      <c r="A22" s="475">
        <v>12</v>
      </c>
      <c r="B22" s="104"/>
      <c r="C22" s="105"/>
      <c r="D22" s="106" t="str">
        <f t="shared" si="37"/>
        <v/>
      </c>
      <c r="E22" s="107"/>
      <c r="F22" s="108"/>
      <c r="G22" s="108"/>
      <c r="H22" s="108"/>
      <c r="I22" s="108">
        <f t="shared" si="29"/>
        <v>1</v>
      </c>
      <c r="J22" s="108">
        <f t="shared" si="30"/>
        <v>2</v>
      </c>
      <c r="K22" s="108">
        <f t="shared" si="31"/>
        <v>3</v>
      </c>
      <c r="L22" s="108">
        <f t="shared" si="32"/>
        <v>4</v>
      </c>
      <c r="M22" s="476">
        <f t="shared" si="33"/>
        <v>5</v>
      </c>
      <c r="N22" s="118"/>
      <c r="O22" s="108"/>
      <c r="P22" s="108"/>
      <c r="Q22" s="108"/>
      <c r="R22" s="108"/>
      <c r="S22" s="108" t="str">
        <f t="shared" si="21"/>
        <v/>
      </c>
      <c r="T22" s="108" t="str">
        <f t="shared" si="22"/>
        <v/>
      </c>
      <c r="U22" s="108" t="str">
        <f t="shared" si="23"/>
        <v/>
      </c>
      <c r="V22" s="108" t="str">
        <f t="shared" si="24"/>
        <v/>
      </c>
      <c r="W22" s="108" t="str">
        <f t="shared" si="25"/>
        <v/>
      </c>
      <c r="X22" s="961"/>
      <c r="Y22" s="962"/>
      <c r="Z22" s="962"/>
      <c r="AA22" s="109"/>
      <c r="AB22" s="177"/>
      <c r="AC22" s="110"/>
      <c r="AD22" s="111">
        <f t="shared" si="2"/>
        <v>0</v>
      </c>
      <c r="AE22" s="111">
        <f xml:space="preserve"> IF(D22&lt;&gt;"",
SUMIF(Detailplan!$G$15:$G$228,Projektteam!D22,Detailplan!$K$15:$K$228)+AX22,0)</f>
        <v>0</v>
      </c>
      <c r="AF22" s="111">
        <f t="shared" si="3"/>
        <v>0</v>
      </c>
      <c r="AG22" s="477">
        <f t="shared" si="4"/>
        <v>0</v>
      </c>
      <c r="AH22" s="478">
        <f t="shared" si="5"/>
        <v>0</v>
      </c>
      <c r="AI22" s="478">
        <f t="shared" si="34"/>
        <v>0</v>
      </c>
      <c r="AJ22" s="478">
        <f t="shared" si="6"/>
        <v>0</v>
      </c>
      <c r="AK22" s="111">
        <f xml:space="preserve"> SUMIFS(Detailplan!$K$15:$K$228,Detailplan!$G$15:$G$228,Projektteam!$D$11:$D$31,Detailplan!$J$15:$J$228,"=1")+AT22</f>
        <v>0</v>
      </c>
      <c r="AL22" s="478">
        <f t="shared" si="35"/>
        <v>0</v>
      </c>
      <c r="AM22" s="105"/>
      <c r="AN22" s="479"/>
      <c r="AO22" s="403" t="str">
        <f t="shared" si="0"/>
        <v/>
      </c>
      <c r="AP22" s="404" t="str">
        <f t="array" ref="AP22">IF(ROW(AO21)&gt;COUNTIF($AO:$AO,"&gt;*"),"",INDEX(AO:AO,SMALL(IF(AO$1:AO$1001&lt;&gt;"",ROW($1:$101)),ROWS($1:21))))</f>
        <v/>
      </c>
      <c r="AQ22" s="406">
        <f t="shared" si="7"/>
        <v>0</v>
      </c>
      <c r="AR22" s="406">
        <f t="shared" si="8"/>
        <v>0</v>
      </c>
      <c r="AS22" s="406">
        <f t="shared" si="9"/>
        <v>0</v>
      </c>
      <c r="AT22" s="480">
        <f t="shared" si="36"/>
        <v>0</v>
      </c>
      <c r="AU22" s="406">
        <f t="shared" si="10"/>
        <v>0</v>
      </c>
      <c r="AV22" s="406">
        <f t="shared" si="11"/>
        <v>0</v>
      </c>
      <c r="AW22" s="406">
        <f t="shared" si="12"/>
        <v>0</v>
      </c>
      <c r="AX22" s="480">
        <f t="shared" si="28"/>
        <v>0</v>
      </c>
      <c r="AY22" s="406"/>
      <c r="AZ22" s="481" t="str">
        <f>IF(D22&lt;&gt;"",CONCATENATE(B22," ",C22," (",D22,"): ",' '!$A$197,": ",AD22," / ",' '!$A$199,": ",AF22," / ",' '!$A$198,": ",AK22,),"")</f>
        <v/>
      </c>
      <c r="BA22" s="481" t="str">
        <f t="shared" si="13"/>
        <v/>
      </c>
      <c r="BB22" s="482">
        <f t="shared" si="14"/>
        <v>0</v>
      </c>
      <c r="BC22" s="402" t="str">
        <f t="array" aca="1" ref="BC22" ca="1">IF(ROW(AZ21)&gt;COUNTIF($AZ:$AZ,"&gt;*"),"",INDEX(AZ:AZ,SMALL(IF(AZ$1:AZ$1001&lt;&gt;"",ROW($1:$101)),ROWS($1:21))))</f>
        <v/>
      </c>
      <c r="BD22" s="483"/>
      <c r="BE22" s="483"/>
      <c r="BF22" s="483"/>
      <c r="BG22" s="483"/>
      <c r="BH22" s="483"/>
      <c r="BI22" s="483"/>
      <c r="BJ22" s="483"/>
      <c r="BK22" s="483"/>
      <c r="BL22" s="484" t="b">
        <f t="shared" si="15"/>
        <v>0</v>
      </c>
    </row>
    <row r="23" spans="1:64" s="485" customFormat="1" ht="15.75" customHeight="1" x14ac:dyDescent="0.3">
      <c r="A23" s="475">
        <v>13</v>
      </c>
      <c r="B23" s="104"/>
      <c r="C23" s="105"/>
      <c r="D23" s="106" t="str">
        <f t="shared" si="37"/>
        <v/>
      </c>
      <c r="E23" s="107"/>
      <c r="F23" s="108"/>
      <c r="G23" s="108"/>
      <c r="H23" s="108"/>
      <c r="I23" s="108">
        <f t="shared" si="29"/>
        <v>1</v>
      </c>
      <c r="J23" s="108">
        <f t="shared" si="30"/>
        <v>2</v>
      </c>
      <c r="K23" s="108">
        <f t="shared" si="31"/>
        <v>3</v>
      </c>
      <c r="L23" s="108">
        <f t="shared" si="32"/>
        <v>4</v>
      </c>
      <c r="M23" s="476">
        <f t="shared" si="33"/>
        <v>5</v>
      </c>
      <c r="N23" s="118"/>
      <c r="O23" s="108"/>
      <c r="P23" s="108"/>
      <c r="Q23" s="108"/>
      <c r="R23" s="108"/>
      <c r="S23" s="108" t="str">
        <f t="shared" si="21"/>
        <v/>
      </c>
      <c r="T23" s="108" t="str">
        <f t="shared" si="22"/>
        <v/>
      </c>
      <c r="U23" s="108" t="str">
        <f t="shared" si="23"/>
        <v/>
      </c>
      <c r="V23" s="108" t="str">
        <f t="shared" si="24"/>
        <v/>
      </c>
      <c r="W23" s="108" t="str">
        <f t="shared" si="25"/>
        <v/>
      </c>
      <c r="X23" s="961"/>
      <c r="Y23" s="962"/>
      <c r="Z23" s="962"/>
      <c r="AA23" s="109"/>
      <c r="AB23" s="177"/>
      <c r="AC23" s="110"/>
      <c r="AD23" s="111">
        <f t="shared" si="2"/>
        <v>0</v>
      </c>
      <c r="AE23" s="111">
        <f xml:space="preserve"> IF(D23&lt;&gt;"",
SUMIF(Detailplan!$G$15:$G$228,Projektteam!D23,Detailplan!$K$15:$K$228)+AX23,0)</f>
        <v>0</v>
      </c>
      <c r="AF23" s="111">
        <f t="shared" si="3"/>
        <v>0</v>
      </c>
      <c r="AG23" s="477">
        <f t="shared" si="4"/>
        <v>0</v>
      </c>
      <c r="AH23" s="478">
        <f t="shared" si="5"/>
        <v>0</v>
      </c>
      <c r="AI23" s="478">
        <f t="shared" si="34"/>
        <v>0</v>
      </c>
      <c r="AJ23" s="478">
        <f t="shared" si="6"/>
        <v>0</v>
      </c>
      <c r="AK23" s="111">
        <f xml:space="preserve"> SUMIFS(Detailplan!$K$15:$K$228,Detailplan!$G$15:$G$228,Projektteam!$D$11:$D$31,Detailplan!$J$15:$J$228,"=1")+AT23</f>
        <v>0</v>
      </c>
      <c r="AL23" s="478">
        <f t="shared" si="35"/>
        <v>0</v>
      </c>
      <c r="AM23" s="105"/>
      <c r="AN23" s="479"/>
      <c r="AO23" s="403" t="str">
        <f t="shared" si="0"/>
        <v/>
      </c>
      <c r="AP23" s="404" t="str">
        <f t="array" ref="AP23">IF(ROW(AO22)&gt;COUNTIF($AO:$AO,"&gt;*"),"",INDEX(AO:AO,SMALL(IF(AO$1:AO$1001&lt;&gt;"",ROW($1:$101)),ROWS($1:22))))</f>
        <v/>
      </c>
      <c r="AQ23" s="406">
        <f t="shared" si="7"/>
        <v>0</v>
      </c>
      <c r="AR23" s="406">
        <f t="shared" si="8"/>
        <v>0</v>
      </c>
      <c r="AS23" s="406">
        <f t="shared" si="9"/>
        <v>0</v>
      </c>
      <c r="AT23" s="480">
        <f t="shared" si="36"/>
        <v>0</v>
      </c>
      <c r="AU23" s="406">
        <f t="shared" si="10"/>
        <v>0</v>
      </c>
      <c r="AV23" s="406">
        <f t="shared" si="11"/>
        <v>0</v>
      </c>
      <c r="AW23" s="406">
        <f t="shared" si="12"/>
        <v>0</v>
      </c>
      <c r="AX23" s="480">
        <f t="shared" si="28"/>
        <v>0</v>
      </c>
      <c r="AY23" s="406"/>
      <c r="AZ23" s="481" t="str">
        <f>IF(D23&lt;&gt;"",CONCATENATE(B23," ",C23," (",D23,"): ",' '!$A$197,": ",AD23," / ",' '!$A$199,": ",AF23," / ",' '!$A$198,": ",AK23,),"")</f>
        <v/>
      </c>
      <c r="BA23" s="481" t="str">
        <f t="shared" si="13"/>
        <v/>
      </c>
      <c r="BB23" s="482">
        <f t="shared" si="14"/>
        <v>0</v>
      </c>
      <c r="BC23" s="402" t="str">
        <f t="array" aca="1" ref="BC23" ca="1">IF(ROW(AZ22)&gt;COUNTIF($AZ:$AZ,"&gt;*"),"",INDEX(AZ:AZ,SMALL(IF(AZ$1:AZ$1001&lt;&gt;"",ROW($1:$101)),ROWS($1:22))))</f>
        <v/>
      </c>
      <c r="BD23" s="483"/>
      <c r="BE23" s="483"/>
      <c r="BF23" s="483"/>
      <c r="BG23" s="483"/>
      <c r="BH23" s="483"/>
      <c r="BI23" s="483"/>
      <c r="BJ23" s="483"/>
      <c r="BK23" s="483"/>
      <c r="BL23" s="484" t="b">
        <f t="shared" si="15"/>
        <v>0</v>
      </c>
    </row>
    <row r="24" spans="1:64" s="485" customFormat="1" ht="15.75" customHeight="1" x14ac:dyDescent="0.3">
      <c r="A24" s="475">
        <v>14</v>
      </c>
      <c r="B24" s="104"/>
      <c r="C24" s="105"/>
      <c r="D24" s="106" t="str">
        <f t="shared" si="37"/>
        <v/>
      </c>
      <c r="E24" s="107"/>
      <c r="F24" s="108"/>
      <c r="G24" s="108"/>
      <c r="H24" s="108"/>
      <c r="I24" s="108">
        <f t="shared" si="29"/>
        <v>1</v>
      </c>
      <c r="J24" s="108">
        <f t="shared" si="30"/>
        <v>2</v>
      </c>
      <c r="K24" s="108">
        <f t="shared" si="31"/>
        <v>3</v>
      </c>
      <c r="L24" s="108">
        <f t="shared" si="32"/>
        <v>4</v>
      </c>
      <c r="M24" s="476">
        <f t="shared" si="33"/>
        <v>5</v>
      </c>
      <c r="N24" s="118"/>
      <c r="O24" s="108"/>
      <c r="P24" s="108"/>
      <c r="Q24" s="108"/>
      <c r="R24" s="108"/>
      <c r="S24" s="108" t="str">
        <f t="shared" si="21"/>
        <v/>
      </c>
      <c r="T24" s="108" t="str">
        <f t="shared" si="22"/>
        <v/>
      </c>
      <c r="U24" s="108" t="str">
        <f t="shared" si="23"/>
        <v/>
      </c>
      <c r="V24" s="108" t="str">
        <f t="shared" si="24"/>
        <v/>
      </c>
      <c r="W24" s="108" t="str">
        <f t="shared" si="25"/>
        <v/>
      </c>
      <c r="X24" s="961"/>
      <c r="Y24" s="962"/>
      <c r="Z24" s="962"/>
      <c r="AA24" s="109"/>
      <c r="AB24" s="177"/>
      <c r="AC24" s="110"/>
      <c r="AD24" s="111">
        <f t="shared" si="2"/>
        <v>0</v>
      </c>
      <c r="AE24" s="111">
        <f xml:space="preserve"> IF(D24&lt;&gt;"",
SUMIF(Detailplan!$G$15:$G$228,Projektteam!D24,Detailplan!$K$15:$K$228)+AX24,0)</f>
        <v>0</v>
      </c>
      <c r="AF24" s="111">
        <f t="shared" si="3"/>
        <v>0</v>
      </c>
      <c r="AG24" s="477">
        <f t="shared" si="4"/>
        <v>0</v>
      </c>
      <c r="AH24" s="478">
        <f t="shared" si="5"/>
        <v>0</v>
      </c>
      <c r="AI24" s="478">
        <f t="shared" si="34"/>
        <v>0</v>
      </c>
      <c r="AJ24" s="478">
        <f t="shared" si="6"/>
        <v>0</v>
      </c>
      <c r="AK24" s="111">
        <f xml:space="preserve"> SUMIFS(Detailplan!$K$15:$K$228,Detailplan!$G$15:$G$228,Projektteam!$D$11:$D$31,Detailplan!$J$15:$J$228,"=1")+AT24</f>
        <v>0</v>
      </c>
      <c r="AL24" s="478">
        <f t="shared" si="35"/>
        <v>0</v>
      </c>
      <c r="AM24" s="105"/>
      <c r="AN24" s="479"/>
      <c r="AO24" s="403" t="str">
        <f t="shared" si="0"/>
        <v/>
      </c>
      <c r="AP24" s="404" t="str">
        <f t="array" ref="AP24">IF(ROW(AO23)&gt;COUNTIF($AO:$AO,"&gt;*"),"",INDEX(AO:AO,SMALL(IF(AO$1:AO$1001&lt;&gt;"",ROW($1:$101)),ROWS($1:23))))</f>
        <v/>
      </c>
      <c r="AQ24" s="406">
        <f t="shared" si="7"/>
        <v>0</v>
      </c>
      <c r="AR24" s="406">
        <f t="shared" si="8"/>
        <v>0</v>
      </c>
      <c r="AS24" s="406">
        <f t="shared" si="9"/>
        <v>0</v>
      </c>
      <c r="AT24" s="480">
        <f t="shared" si="36"/>
        <v>0</v>
      </c>
      <c r="AU24" s="406">
        <f t="shared" si="10"/>
        <v>0</v>
      </c>
      <c r="AV24" s="406">
        <f t="shared" si="11"/>
        <v>0</v>
      </c>
      <c r="AW24" s="406">
        <f t="shared" si="12"/>
        <v>0</v>
      </c>
      <c r="AX24" s="480">
        <f t="shared" si="28"/>
        <v>0</v>
      </c>
      <c r="AY24" s="406"/>
      <c r="AZ24" s="481" t="str">
        <f>IF(D24&lt;&gt;"",CONCATENATE(B24," ",C24," (",D24,"): ",' '!$A$197,": ",AD24," / ",' '!$A$199,": ",AF24," / ",' '!$A$198,": ",AK24,),"")</f>
        <v/>
      </c>
      <c r="BA24" s="481" t="str">
        <f t="shared" si="13"/>
        <v/>
      </c>
      <c r="BB24" s="482">
        <f t="shared" si="14"/>
        <v>0</v>
      </c>
      <c r="BC24" s="402" t="str">
        <f t="array" aca="1" ref="BC24" ca="1">IF(ROW(AZ23)&gt;COUNTIF($AZ:$AZ,"&gt;*"),"",INDEX(AZ:AZ,SMALL(IF(AZ$1:AZ$1001&lt;&gt;"",ROW($1:$101)),ROWS($1:23))))</f>
        <v/>
      </c>
      <c r="BD24" s="483"/>
      <c r="BE24" s="483"/>
      <c r="BF24" s="483"/>
      <c r="BG24" s="483"/>
      <c r="BH24" s="483"/>
      <c r="BI24" s="483"/>
      <c r="BJ24" s="483"/>
      <c r="BK24" s="483"/>
      <c r="BL24" s="484" t="b">
        <f t="shared" si="15"/>
        <v>0</v>
      </c>
    </row>
    <row r="25" spans="1:64" s="485" customFormat="1" ht="15.75" customHeight="1" x14ac:dyDescent="0.3">
      <c r="A25" s="475">
        <v>15</v>
      </c>
      <c r="B25" s="104"/>
      <c r="C25" s="105"/>
      <c r="D25" s="106" t="str">
        <f t="shared" si="37"/>
        <v/>
      </c>
      <c r="E25" s="107"/>
      <c r="F25" s="108"/>
      <c r="G25" s="108"/>
      <c r="H25" s="108"/>
      <c r="I25" s="108">
        <f t="shared" si="29"/>
        <v>1</v>
      </c>
      <c r="J25" s="108">
        <f t="shared" si="30"/>
        <v>2</v>
      </c>
      <c r="K25" s="108">
        <f t="shared" si="31"/>
        <v>3</v>
      </c>
      <c r="L25" s="108">
        <f t="shared" si="32"/>
        <v>4</v>
      </c>
      <c r="M25" s="476">
        <f t="shared" si="33"/>
        <v>5</v>
      </c>
      <c r="N25" s="118"/>
      <c r="O25" s="108"/>
      <c r="P25" s="108"/>
      <c r="Q25" s="108"/>
      <c r="R25" s="108"/>
      <c r="S25" s="108" t="str">
        <f t="shared" si="21"/>
        <v/>
      </c>
      <c r="T25" s="108" t="str">
        <f t="shared" si="22"/>
        <v/>
      </c>
      <c r="U25" s="108" t="str">
        <f t="shared" si="23"/>
        <v/>
      </c>
      <c r="V25" s="108" t="str">
        <f t="shared" si="24"/>
        <v/>
      </c>
      <c r="W25" s="108" t="str">
        <f t="shared" si="25"/>
        <v/>
      </c>
      <c r="X25" s="961"/>
      <c r="Y25" s="962"/>
      <c r="Z25" s="962"/>
      <c r="AA25" s="109"/>
      <c r="AB25" s="177"/>
      <c r="AC25" s="110"/>
      <c r="AD25" s="111">
        <f t="shared" si="2"/>
        <v>0</v>
      </c>
      <c r="AE25" s="111">
        <f xml:space="preserve"> IF(D25&lt;&gt;"",
SUMIF(Detailplan!$G$15:$G$228,Projektteam!D25,Detailplan!$K$15:$K$228)+AX25,0)</f>
        <v>0</v>
      </c>
      <c r="AF25" s="111">
        <f t="shared" si="3"/>
        <v>0</v>
      </c>
      <c r="AG25" s="477">
        <f t="shared" si="4"/>
        <v>0</v>
      </c>
      <c r="AH25" s="478">
        <f t="shared" si="5"/>
        <v>0</v>
      </c>
      <c r="AI25" s="478">
        <f t="shared" si="34"/>
        <v>0</v>
      </c>
      <c r="AJ25" s="478">
        <f t="shared" si="6"/>
        <v>0</v>
      </c>
      <c r="AK25" s="111">
        <f xml:space="preserve"> SUMIFS(Detailplan!$K$15:$K$228,Detailplan!$G$15:$G$228,Projektteam!$D$11:$D$31,Detailplan!$J$15:$J$228,"=1")+AT25</f>
        <v>0</v>
      </c>
      <c r="AL25" s="478">
        <f t="shared" si="35"/>
        <v>0</v>
      </c>
      <c r="AM25" s="105"/>
      <c r="AN25" s="479"/>
      <c r="AO25" s="403" t="str">
        <f t="shared" si="0"/>
        <v/>
      </c>
      <c r="AP25" s="404" t="str">
        <f t="array" ref="AP25">IF(ROW(AO24)&gt;COUNTIF($AO:$AO,"&gt;*"),"",INDEX(AO:AO,SMALL(IF(AO$1:AO$1001&lt;&gt;"",ROW($1:$101)),ROWS($1:24))))</f>
        <v/>
      </c>
      <c r="AQ25" s="406">
        <f t="shared" si="7"/>
        <v>0</v>
      </c>
      <c r="AR25" s="406">
        <f t="shared" si="8"/>
        <v>0</v>
      </c>
      <c r="AS25" s="406">
        <f t="shared" si="9"/>
        <v>0</v>
      </c>
      <c r="AT25" s="480">
        <f t="shared" si="36"/>
        <v>0</v>
      </c>
      <c r="AU25" s="406">
        <f t="shared" si="10"/>
        <v>0</v>
      </c>
      <c r="AV25" s="406">
        <f t="shared" si="11"/>
        <v>0</v>
      </c>
      <c r="AW25" s="406">
        <f t="shared" si="12"/>
        <v>0</v>
      </c>
      <c r="AX25" s="480">
        <f t="shared" si="28"/>
        <v>0</v>
      </c>
      <c r="AY25" s="406"/>
      <c r="AZ25" s="481" t="str">
        <f>IF(D25&lt;&gt;"",CONCATENATE(B25," ",C25," (",D25,"): ",' '!$A$197,": ",AD25," / ",' '!$A$199,": ",AF25," / ",' '!$A$198,": ",AK25,),"")</f>
        <v/>
      </c>
      <c r="BA25" s="481" t="str">
        <f t="shared" si="13"/>
        <v/>
      </c>
      <c r="BB25" s="482">
        <f t="shared" si="14"/>
        <v>0</v>
      </c>
      <c r="BC25" s="402" t="str">
        <f t="array" aca="1" ref="BC25" ca="1">IF(ROW(AZ24)&gt;COUNTIF($AZ:$AZ,"&gt;*"),"",INDEX(AZ:AZ,SMALL(IF(AZ$1:AZ$1001&lt;&gt;"",ROW($1:$101)),ROWS($1:24))))</f>
        <v/>
      </c>
      <c r="BD25" s="483"/>
      <c r="BE25" s="483"/>
      <c r="BF25" s="483"/>
      <c r="BG25" s="483"/>
      <c r="BH25" s="483"/>
      <c r="BI25" s="483"/>
      <c r="BJ25" s="483"/>
      <c r="BK25" s="483"/>
      <c r="BL25" s="484" t="b">
        <f t="shared" si="15"/>
        <v>0</v>
      </c>
    </row>
    <row r="26" spans="1:64" s="485" customFormat="1" ht="15.75" customHeight="1" x14ac:dyDescent="0.3">
      <c r="A26" s="475">
        <v>16</v>
      </c>
      <c r="B26" s="104"/>
      <c r="C26" s="105"/>
      <c r="D26" s="106" t="str">
        <f t="shared" si="37"/>
        <v/>
      </c>
      <c r="E26" s="107"/>
      <c r="F26" s="108"/>
      <c r="G26" s="108"/>
      <c r="H26" s="108"/>
      <c r="I26" s="108">
        <f t="shared" si="29"/>
        <v>1</v>
      </c>
      <c r="J26" s="108">
        <f t="shared" si="30"/>
        <v>2</v>
      </c>
      <c r="K26" s="108">
        <f t="shared" si="31"/>
        <v>3</v>
      </c>
      <c r="L26" s="108">
        <f t="shared" si="32"/>
        <v>4</v>
      </c>
      <c r="M26" s="476">
        <f t="shared" si="33"/>
        <v>5</v>
      </c>
      <c r="N26" s="118"/>
      <c r="O26" s="108"/>
      <c r="P26" s="108"/>
      <c r="Q26" s="108"/>
      <c r="R26" s="108"/>
      <c r="S26" s="108" t="str">
        <f t="shared" si="21"/>
        <v/>
      </c>
      <c r="T26" s="108" t="str">
        <f t="shared" si="22"/>
        <v/>
      </c>
      <c r="U26" s="108" t="str">
        <f t="shared" si="23"/>
        <v/>
      </c>
      <c r="V26" s="108" t="str">
        <f t="shared" si="24"/>
        <v/>
      </c>
      <c r="W26" s="108" t="str">
        <f t="shared" si="25"/>
        <v/>
      </c>
      <c r="X26" s="961"/>
      <c r="Y26" s="962"/>
      <c r="Z26" s="962"/>
      <c r="AA26" s="109"/>
      <c r="AB26" s="177"/>
      <c r="AC26" s="110"/>
      <c r="AD26" s="111">
        <f t="shared" si="2"/>
        <v>0</v>
      </c>
      <c r="AE26" s="111">
        <f xml:space="preserve"> IF(D26&lt;&gt;"",
SUMIF(Detailplan!$G$15:$G$228,Projektteam!D26,Detailplan!$K$15:$K$228)+AX26,0)</f>
        <v>0</v>
      </c>
      <c r="AF26" s="111">
        <f t="shared" si="3"/>
        <v>0</v>
      </c>
      <c r="AG26" s="477">
        <f t="shared" si="4"/>
        <v>0</v>
      </c>
      <c r="AH26" s="478">
        <f t="shared" si="5"/>
        <v>0</v>
      </c>
      <c r="AI26" s="478">
        <f t="shared" si="34"/>
        <v>0</v>
      </c>
      <c r="AJ26" s="478">
        <f t="shared" si="6"/>
        <v>0</v>
      </c>
      <c r="AK26" s="111">
        <f xml:space="preserve"> SUMIFS(Detailplan!$K$15:$K$228,Detailplan!$G$15:$G$228,Projektteam!$D$11:$D$31,Detailplan!$J$15:$J$228,"=1")+AT26</f>
        <v>0</v>
      </c>
      <c r="AL26" s="478">
        <f t="shared" si="35"/>
        <v>0</v>
      </c>
      <c r="AM26" s="105"/>
      <c r="AN26" s="479"/>
      <c r="AO26" s="403" t="str">
        <f>IF(D36&lt;&gt;"",D36,
IF(D42&lt;&gt;"",D42,""))</f>
        <v>T1 (ImS)</v>
      </c>
      <c r="AP26" s="404" t="str">
        <f t="array" ref="AP26">IF(ROW(AO25)&gt;COUNTIF($AO:$AO,"&gt;*"),"",INDEX(AO:AO,SMALL(IF(AO$1:AO$1001&lt;&gt;"",ROW($1:$101)),ROWS($1:25))))</f>
        <v/>
      </c>
      <c r="AQ26" s="406">
        <f t="shared" si="7"/>
        <v>0</v>
      </c>
      <c r="AR26" s="406">
        <f t="shared" si="8"/>
        <v>0</v>
      </c>
      <c r="AS26" s="406">
        <f t="shared" si="9"/>
        <v>0</v>
      </c>
      <c r="AT26" s="480">
        <f t="shared" si="36"/>
        <v>0</v>
      </c>
      <c r="AU26" s="406">
        <f t="shared" si="10"/>
        <v>0</v>
      </c>
      <c r="AV26" s="406">
        <f t="shared" si="11"/>
        <v>0</v>
      </c>
      <c r="AW26" s="406">
        <f t="shared" si="12"/>
        <v>0</v>
      </c>
      <c r="AX26" s="480">
        <f t="shared" si="28"/>
        <v>0</v>
      </c>
      <c r="AY26" s="406"/>
      <c r="AZ26" s="481" t="str">
        <f>IF(D26&lt;&gt;"",CONCATENATE(B26," ",C26," (",D26,"): ",' '!$A$197,": ",AD26," / ",' '!$A$199,": ",AF26," / ",' '!$A$198,": ",AK26,),"")</f>
        <v/>
      </c>
      <c r="BA26" s="481" t="str">
        <f t="shared" si="13"/>
        <v/>
      </c>
      <c r="BB26" s="482">
        <f t="shared" si="14"/>
        <v>0</v>
      </c>
      <c r="BC26" s="402" t="str">
        <f t="array" aca="1" ref="BC26" ca="1">IF(ROW(AZ25)&gt;COUNTIF($AZ:$AZ,"&gt;*"),"",INDEX(AZ:AZ,SMALL(IF(AZ$1:AZ$1001&lt;&gt;"",ROW($1:$101)),ROWS($1:25))))</f>
        <v/>
      </c>
      <c r="BD26" s="483"/>
      <c r="BE26" s="483"/>
      <c r="BF26" s="483"/>
      <c r="BG26" s="483"/>
      <c r="BH26" s="483"/>
      <c r="BI26" s="483"/>
      <c r="BJ26" s="483"/>
      <c r="BK26" s="483"/>
      <c r="BL26" s="484" t="b">
        <f t="shared" si="15"/>
        <v>0</v>
      </c>
    </row>
    <row r="27" spans="1:64" s="485" customFormat="1" ht="15.75" customHeight="1" x14ac:dyDescent="0.3">
      <c r="A27" s="475">
        <v>17</v>
      </c>
      <c r="B27" s="104"/>
      <c r="C27" s="105"/>
      <c r="D27" s="106" t="str">
        <f t="shared" si="37"/>
        <v/>
      </c>
      <c r="E27" s="107"/>
      <c r="F27" s="108"/>
      <c r="G27" s="108"/>
      <c r="H27" s="108"/>
      <c r="I27" s="108">
        <f t="shared" si="29"/>
        <v>1</v>
      </c>
      <c r="J27" s="108">
        <f t="shared" si="30"/>
        <v>2</v>
      </c>
      <c r="K27" s="108">
        <f t="shared" si="31"/>
        <v>3</v>
      </c>
      <c r="L27" s="108">
        <f t="shared" si="32"/>
        <v>4</v>
      </c>
      <c r="M27" s="476">
        <f t="shared" si="33"/>
        <v>5</v>
      </c>
      <c r="N27" s="118"/>
      <c r="O27" s="108"/>
      <c r="P27" s="108"/>
      <c r="Q27" s="108"/>
      <c r="R27" s="108"/>
      <c r="S27" s="108" t="str">
        <f t="shared" si="21"/>
        <v/>
      </c>
      <c r="T27" s="108" t="str">
        <f t="shared" si="22"/>
        <v/>
      </c>
      <c r="U27" s="108" t="str">
        <f t="shared" si="23"/>
        <v/>
      </c>
      <c r="V27" s="108" t="str">
        <f t="shared" si="24"/>
        <v/>
      </c>
      <c r="W27" s="108" t="str">
        <f t="shared" si="25"/>
        <v/>
      </c>
      <c r="X27" s="961"/>
      <c r="Y27" s="962"/>
      <c r="Z27" s="962"/>
      <c r="AA27" s="109"/>
      <c r="AB27" s="177"/>
      <c r="AC27" s="110"/>
      <c r="AD27" s="111">
        <f t="shared" si="2"/>
        <v>0</v>
      </c>
      <c r="AE27" s="111">
        <f xml:space="preserve"> IF(D27&lt;&gt;"",
SUMIF(Detailplan!$G$15:$G$228,Projektteam!D27,Detailplan!$K$15:$K$228)+AX27,0)</f>
        <v>0</v>
      </c>
      <c r="AF27" s="111">
        <f t="shared" si="3"/>
        <v>0</v>
      </c>
      <c r="AG27" s="477">
        <f t="shared" si="4"/>
        <v>0</v>
      </c>
      <c r="AH27" s="478">
        <f t="shared" si="5"/>
        <v>0</v>
      </c>
      <c r="AI27" s="478">
        <f t="shared" si="34"/>
        <v>0</v>
      </c>
      <c r="AJ27" s="478">
        <f t="shared" si="6"/>
        <v>0</v>
      </c>
      <c r="AK27" s="111">
        <f xml:space="preserve"> SUMIFS(Detailplan!$K$15:$K$228,Detailplan!$G$15:$G$228,Projektteam!$D$11:$D$31,Detailplan!$J$15:$J$228,"=1")+AT27</f>
        <v>0</v>
      </c>
      <c r="AL27" s="478">
        <f t="shared" si="35"/>
        <v>0</v>
      </c>
      <c r="AM27" s="105"/>
      <c r="AN27" s="479"/>
      <c r="AO27" s="403" t="str">
        <f>IF(D37&lt;&gt;"",D37,
IF(D43&lt;&gt;"",D43,""))</f>
        <v/>
      </c>
      <c r="AP27" s="404" t="str">
        <f t="array" ref="AP27">IF(ROW(AO27)&gt;COUNTIF($AO:$AO,"&gt;*"),"",INDEX(AO:AO,SMALL(IF(AO$1:AO$1001&lt;&gt;"",ROW($AO27:$AO1027)), ROW(AO27))))</f>
        <v/>
      </c>
      <c r="AQ27" s="406">
        <f t="shared" si="7"/>
        <v>0</v>
      </c>
      <c r="AR27" s="406">
        <f t="shared" si="8"/>
        <v>0</v>
      </c>
      <c r="AS27" s="406">
        <f t="shared" si="9"/>
        <v>0</v>
      </c>
      <c r="AT27" s="480">
        <f t="shared" si="36"/>
        <v>0</v>
      </c>
      <c r="AU27" s="406">
        <f t="shared" si="10"/>
        <v>0</v>
      </c>
      <c r="AV27" s="406">
        <f t="shared" si="11"/>
        <v>0</v>
      </c>
      <c r="AW27" s="406">
        <f t="shared" si="12"/>
        <v>0</v>
      </c>
      <c r="AX27" s="480">
        <f t="shared" si="28"/>
        <v>0</v>
      </c>
      <c r="AY27" s="406"/>
      <c r="AZ27" s="481" t="str">
        <f>IF(D27&lt;&gt;"",CONCATENATE(B27," ",C27," (",D27,"): ",' '!$A$197,": ",AD27," / ",' '!$A$199,": ",AF27," / ",' '!$A$198,": ",AK27,),"")</f>
        <v/>
      </c>
      <c r="BA27" s="481" t="str">
        <f t="shared" si="13"/>
        <v/>
      </c>
      <c r="BB27" s="482">
        <f t="shared" si="14"/>
        <v>0</v>
      </c>
      <c r="BC27" s="402" t="str">
        <f t="array" aca="1" ref="BC27" ca="1">IF(ROW(AZ26)&gt;COUNTIF($AZ:$AZ,"&gt;*"),"",INDEX(AZ:AZ,SMALL(IF(AZ$1:AZ$1001&lt;&gt;"",ROW($1:$101)),ROWS($1:26))))</f>
        <v/>
      </c>
      <c r="BD27" s="483"/>
      <c r="BE27" s="483"/>
      <c r="BF27" s="483"/>
      <c r="BG27" s="483"/>
      <c r="BH27" s="483"/>
      <c r="BI27" s="483"/>
      <c r="BJ27" s="483"/>
      <c r="BK27" s="483"/>
      <c r="BL27" s="484" t="b">
        <f t="shared" si="15"/>
        <v>0</v>
      </c>
    </row>
    <row r="28" spans="1:64" s="485" customFormat="1" ht="15.75" customHeight="1" x14ac:dyDescent="0.3">
      <c r="A28" s="475">
        <v>18</v>
      </c>
      <c r="B28" s="104"/>
      <c r="C28" s="105"/>
      <c r="D28" s="106" t="str">
        <f t="shared" si="37"/>
        <v/>
      </c>
      <c r="E28" s="107"/>
      <c r="F28" s="108"/>
      <c r="G28" s="108"/>
      <c r="H28" s="108"/>
      <c r="I28" s="108">
        <f t="shared" si="29"/>
        <v>1</v>
      </c>
      <c r="J28" s="108">
        <f t="shared" si="30"/>
        <v>2</v>
      </c>
      <c r="K28" s="108">
        <f t="shared" si="31"/>
        <v>3</v>
      </c>
      <c r="L28" s="108">
        <f t="shared" si="32"/>
        <v>4</v>
      </c>
      <c r="M28" s="476">
        <f t="shared" si="33"/>
        <v>5</v>
      </c>
      <c r="N28" s="118"/>
      <c r="O28" s="108"/>
      <c r="P28" s="108"/>
      <c r="Q28" s="108"/>
      <c r="R28" s="108"/>
      <c r="S28" s="108" t="str">
        <f t="shared" si="21"/>
        <v/>
      </c>
      <c r="T28" s="108" t="str">
        <f t="shared" si="22"/>
        <v/>
      </c>
      <c r="U28" s="108" t="str">
        <f t="shared" si="23"/>
        <v/>
      </c>
      <c r="V28" s="108" t="str">
        <f t="shared" si="24"/>
        <v/>
      </c>
      <c r="W28" s="108" t="str">
        <f t="shared" si="25"/>
        <v/>
      </c>
      <c r="X28" s="961"/>
      <c r="Y28" s="962"/>
      <c r="Z28" s="962"/>
      <c r="AA28" s="109"/>
      <c r="AB28" s="177"/>
      <c r="AC28" s="110"/>
      <c r="AD28" s="111">
        <f t="shared" si="2"/>
        <v>0</v>
      </c>
      <c r="AE28" s="111">
        <f xml:space="preserve"> IF(D28&lt;&gt;"",
SUMIF(Detailplan!$G$15:$G$228,Projektteam!D28,Detailplan!$K$15:$K$228)+AX28,0)</f>
        <v>0</v>
      </c>
      <c r="AF28" s="111">
        <f t="shared" si="3"/>
        <v>0</v>
      </c>
      <c r="AG28" s="477">
        <f t="shared" si="4"/>
        <v>0</v>
      </c>
      <c r="AH28" s="478">
        <f t="shared" si="5"/>
        <v>0</v>
      </c>
      <c r="AI28" s="478">
        <f t="shared" si="34"/>
        <v>0</v>
      </c>
      <c r="AJ28" s="478">
        <f t="shared" si="6"/>
        <v>0</v>
      </c>
      <c r="AK28" s="111">
        <f xml:space="preserve"> SUMIFS(Detailplan!$K$15:$K$228,Detailplan!$G$15:$G$228,Projektteam!$D$11:$D$31,Detailplan!$J$15:$J$228,"=1")+AT28</f>
        <v>0</v>
      </c>
      <c r="AL28" s="478">
        <f t="shared" si="35"/>
        <v>0</v>
      </c>
      <c r="AM28" s="105"/>
      <c r="AN28" s="479"/>
      <c r="AO28" s="403" t="str">
        <f>IF(D38&lt;&gt;"",D38,
IF(D44&lt;&gt;"",D44,""))</f>
        <v/>
      </c>
      <c r="AP28" s="404" t="str">
        <f t="array" ref="AP28">IF(ROW(AO28)&gt;COUNTIF($AO:$AO,"&gt;*"),"",INDEX(AO:AO,SMALL(IF(AO$1:AO$1001&lt;&gt;"",ROW($AO28:$AO1028)), ROW(AO28))))</f>
        <v/>
      </c>
      <c r="AQ28" s="406">
        <f t="shared" si="7"/>
        <v>0</v>
      </c>
      <c r="AR28" s="406">
        <f t="shared" si="8"/>
        <v>0</v>
      </c>
      <c r="AS28" s="406">
        <f t="shared" si="9"/>
        <v>0</v>
      </c>
      <c r="AT28" s="480">
        <f t="shared" si="36"/>
        <v>0</v>
      </c>
      <c r="AU28" s="406">
        <f t="shared" si="10"/>
        <v>0</v>
      </c>
      <c r="AV28" s="406">
        <f t="shared" si="11"/>
        <v>0</v>
      </c>
      <c r="AW28" s="406">
        <f t="shared" si="12"/>
        <v>0</v>
      </c>
      <c r="AX28" s="480">
        <f t="shared" si="28"/>
        <v>0</v>
      </c>
      <c r="AY28" s="406"/>
      <c r="AZ28" s="481" t="str">
        <f>IF(D28&lt;&gt;"",CONCATENATE(B28," ",C28," (",D28,"): ",' '!$A$197,": ",AD28," / ",' '!$A$199,": ",AF28," / ",' '!$A$198,": ",AK28,),"")</f>
        <v/>
      </c>
      <c r="BA28" s="481" t="str">
        <f t="shared" si="13"/>
        <v/>
      </c>
      <c r="BB28" s="482">
        <f t="shared" si="14"/>
        <v>0</v>
      </c>
      <c r="BC28" s="402" t="str">
        <f t="array" aca="1" ref="BC28" ca="1">IF(ROW(AZ27)&gt;COUNTIF($AZ:$AZ,"&gt;*"),"",INDEX(AZ:AZ,SMALL(IF(AZ$1:AZ$1001&lt;&gt;"",ROW($1:$101)),ROWS($1:27))))</f>
        <v/>
      </c>
      <c r="BD28" s="483"/>
      <c r="BE28" s="483"/>
      <c r="BF28" s="483"/>
      <c r="BG28" s="483"/>
      <c r="BH28" s="483"/>
      <c r="BI28" s="483"/>
      <c r="BJ28" s="483"/>
      <c r="BK28" s="483"/>
      <c r="BL28" s="484" t="b">
        <f t="shared" si="15"/>
        <v>0</v>
      </c>
    </row>
    <row r="29" spans="1:64" s="485" customFormat="1" ht="15.75" customHeight="1" x14ac:dyDescent="0.3">
      <c r="A29" s="475">
        <v>19</v>
      </c>
      <c r="B29" s="104"/>
      <c r="C29" s="105"/>
      <c r="D29" s="106" t="str">
        <f t="shared" si="37"/>
        <v/>
      </c>
      <c r="E29" s="107"/>
      <c r="F29" s="108"/>
      <c r="G29" s="108"/>
      <c r="H29" s="108"/>
      <c r="I29" s="108">
        <f t="shared" si="29"/>
        <v>1</v>
      </c>
      <c r="J29" s="108">
        <f t="shared" si="30"/>
        <v>2</v>
      </c>
      <c r="K29" s="108">
        <f t="shared" si="31"/>
        <v>3</v>
      </c>
      <c r="L29" s="108">
        <f t="shared" si="32"/>
        <v>4</v>
      </c>
      <c r="M29" s="476">
        <f t="shared" si="33"/>
        <v>5</v>
      </c>
      <c r="N29" s="118"/>
      <c r="O29" s="108"/>
      <c r="P29" s="108"/>
      <c r="Q29" s="108"/>
      <c r="R29" s="108"/>
      <c r="S29" s="108" t="str">
        <f t="shared" si="21"/>
        <v/>
      </c>
      <c r="T29" s="108" t="str">
        <f t="shared" si="22"/>
        <v/>
      </c>
      <c r="U29" s="108" t="str">
        <f t="shared" si="23"/>
        <v/>
      </c>
      <c r="V29" s="108" t="str">
        <f t="shared" si="24"/>
        <v/>
      </c>
      <c r="W29" s="108" t="str">
        <f t="shared" si="25"/>
        <v/>
      </c>
      <c r="X29" s="961"/>
      <c r="Y29" s="962"/>
      <c r="Z29" s="962"/>
      <c r="AA29" s="109"/>
      <c r="AB29" s="177"/>
      <c r="AC29" s="110"/>
      <c r="AD29" s="111">
        <f t="shared" si="2"/>
        <v>0</v>
      </c>
      <c r="AE29" s="111">
        <f xml:space="preserve"> IF(D29&lt;&gt;"",
SUMIF(Detailplan!$G$15:$G$228,Projektteam!D29,Detailplan!$K$15:$K$228)+AX29,0)</f>
        <v>0</v>
      </c>
      <c r="AF29" s="111">
        <f t="shared" si="3"/>
        <v>0</v>
      </c>
      <c r="AG29" s="477">
        <f t="shared" si="4"/>
        <v>0</v>
      </c>
      <c r="AH29" s="478">
        <f t="shared" si="5"/>
        <v>0</v>
      </c>
      <c r="AI29" s="478">
        <f t="shared" si="34"/>
        <v>0</v>
      </c>
      <c r="AJ29" s="478">
        <f t="shared" si="6"/>
        <v>0</v>
      </c>
      <c r="AK29" s="111">
        <f xml:space="preserve"> SUMIFS(Detailplan!$K$15:$K$228,Detailplan!$G$15:$G$228,Projektteam!$D$11:$D$31,Detailplan!$J$15:$J$228,"=1")+AT29</f>
        <v>0</v>
      </c>
      <c r="AL29" s="478">
        <f t="shared" si="35"/>
        <v>0</v>
      </c>
      <c r="AM29" s="105"/>
      <c r="AN29" s="479"/>
      <c r="AO29" s="403" t="str">
        <f>IF(D39&lt;&gt;"",D39,
IF(D45&lt;&gt;"",D45,""))</f>
        <v/>
      </c>
      <c r="AP29" s="404" t="str">
        <f t="array" ref="AP29">IF(ROW(AO29)&gt;COUNTIF($AO:$AO,"&gt;*"),"",INDEX(AO:AO,SMALL(IF(AO$1:AO$1001&lt;&gt;"",ROW($AO29:$AO1029)), ROW(AO29))))</f>
        <v/>
      </c>
      <c r="AQ29" s="406">
        <f t="shared" si="7"/>
        <v>0</v>
      </c>
      <c r="AR29" s="406">
        <f t="shared" si="8"/>
        <v>0</v>
      </c>
      <c r="AS29" s="406">
        <f t="shared" si="9"/>
        <v>0</v>
      </c>
      <c r="AT29" s="480">
        <f t="shared" si="36"/>
        <v>0</v>
      </c>
      <c r="AU29" s="406">
        <f t="shared" si="10"/>
        <v>0</v>
      </c>
      <c r="AV29" s="406">
        <f t="shared" si="11"/>
        <v>0</v>
      </c>
      <c r="AW29" s="406">
        <f t="shared" si="12"/>
        <v>0</v>
      </c>
      <c r="AX29" s="480">
        <f t="shared" si="28"/>
        <v>0</v>
      </c>
      <c r="AY29" s="406"/>
      <c r="AZ29" s="481" t="str">
        <f>IF(D29&lt;&gt;"",CONCATENATE(B29," ",C29," (",D29,"): ",' '!$A$197,": ",AD29," / ",' '!$A$199,": ",AF29," / ",' '!$A$198,": ",AK29,),"")</f>
        <v/>
      </c>
      <c r="BA29" s="481" t="str">
        <f t="shared" si="13"/>
        <v/>
      </c>
      <c r="BB29" s="482">
        <f t="shared" si="14"/>
        <v>0</v>
      </c>
      <c r="BC29" s="402" t="str">
        <f t="array" aca="1" ref="BC29" ca="1">IF(ROW(AZ28)&gt;COUNTIF($AZ:$AZ,"&gt;*"),"",INDEX(AZ:AZ,SMALL(IF(AZ$1:AZ$1001&lt;&gt;"",ROW($1:$101)),ROWS($1:28))))</f>
        <v/>
      </c>
      <c r="BD29" s="483"/>
      <c r="BE29" s="483"/>
      <c r="BF29" s="483"/>
      <c r="BG29" s="483"/>
      <c r="BH29" s="483"/>
      <c r="BI29" s="483"/>
      <c r="BJ29" s="483"/>
      <c r="BK29" s="483"/>
      <c r="BL29" s="484" t="b">
        <f t="shared" si="15"/>
        <v>0</v>
      </c>
    </row>
    <row r="30" spans="1:64" s="485" customFormat="1" ht="15.75" customHeight="1" x14ac:dyDescent="0.3">
      <c r="A30" s="475">
        <v>20</v>
      </c>
      <c r="B30" s="104"/>
      <c r="C30" s="105"/>
      <c r="D30" s="106" t="str">
        <f t="shared" si="37"/>
        <v/>
      </c>
      <c r="E30" s="107"/>
      <c r="F30" s="108"/>
      <c r="G30" s="108"/>
      <c r="H30" s="108"/>
      <c r="I30" s="108">
        <f t="shared" si="29"/>
        <v>1</v>
      </c>
      <c r="J30" s="108">
        <f t="shared" si="30"/>
        <v>2</v>
      </c>
      <c r="K30" s="108">
        <f t="shared" si="31"/>
        <v>3</v>
      </c>
      <c r="L30" s="108">
        <f t="shared" si="32"/>
        <v>4</v>
      </c>
      <c r="M30" s="476">
        <f t="shared" si="33"/>
        <v>5</v>
      </c>
      <c r="N30" s="118"/>
      <c r="O30" s="108"/>
      <c r="P30" s="108"/>
      <c r="Q30" s="108"/>
      <c r="R30" s="108"/>
      <c r="S30" s="108" t="str">
        <f t="shared" si="21"/>
        <v/>
      </c>
      <c r="T30" s="108" t="str">
        <f t="shared" si="22"/>
        <v/>
      </c>
      <c r="U30" s="108" t="str">
        <f t="shared" si="23"/>
        <v/>
      </c>
      <c r="V30" s="108" t="str">
        <f t="shared" si="24"/>
        <v/>
      </c>
      <c r="W30" s="108" t="str">
        <f t="shared" si="25"/>
        <v/>
      </c>
      <c r="X30" s="961"/>
      <c r="Y30" s="962"/>
      <c r="Z30" s="962"/>
      <c r="AA30" s="109"/>
      <c r="AB30" s="177"/>
      <c r="AC30" s="110"/>
      <c r="AD30" s="111">
        <f t="shared" si="2"/>
        <v>0</v>
      </c>
      <c r="AE30" s="111">
        <f xml:space="preserve"> IF(D30&lt;&gt;"",
SUMIF(Detailplan!$G$15:$G$228,Projektteam!D30,Detailplan!$K$15:$K$228)+AX30,0)</f>
        <v>0</v>
      </c>
      <c r="AF30" s="111">
        <f t="shared" si="3"/>
        <v>0</v>
      </c>
      <c r="AG30" s="477">
        <f t="shared" si="4"/>
        <v>0</v>
      </c>
      <c r="AH30" s="478">
        <f t="shared" si="5"/>
        <v>0</v>
      </c>
      <c r="AI30" s="478">
        <f t="shared" si="34"/>
        <v>0</v>
      </c>
      <c r="AJ30" s="478">
        <f t="shared" si="6"/>
        <v>0</v>
      </c>
      <c r="AK30" s="111">
        <f xml:space="preserve"> SUMIFS(Detailplan!$K$15:$K$228,Detailplan!$G$15:$G$228,Projektteam!$D$11:$D$31,Detailplan!$J$15:$J$228,"=1")+AT30</f>
        <v>0</v>
      </c>
      <c r="AL30" s="478">
        <f t="shared" si="35"/>
        <v>0</v>
      </c>
      <c r="AM30" s="105"/>
      <c r="AN30" s="479"/>
      <c r="AO30" s="403" t="str">
        <f>IF(D40&lt;&gt;"",D40,
IF(D46&lt;&gt;"",D46,""))</f>
        <v/>
      </c>
      <c r="AP30" s="404" t="str">
        <f t="array" ref="AP30">IF(ROW(AO30)&gt;COUNTIF($AO:$AO,"&gt;*"),"",INDEX(AO:AO,SMALL(IF(AO$1:AO$1001&lt;&gt;"",ROW($AO30:$AO1030)), ROW(AO30))))</f>
        <v/>
      </c>
      <c r="AQ30" s="406">
        <f t="shared" si="7"/>
        <v>0</v>
      </c>
      <c r="AR30" s="406">
        <f t="shared" si="8"/>
        <v>0</v>
      </c>
      <c r="AS30" s="406">
        <f t="shared" si="9"/>
        <v>0</v>
      </c>
      <c r="AT30" s="480">
        <f t="shared" si="36"/>
        <v>0</v>
      </c>
      <c r="AU30" s="406">
        <f t="shared" si="10"/>
        <v>0</v>
      </c>
      <c r="AV30" s="406">
        <f t="shared" si="11"/>
        <v>0</v>
      </c>
      <c r="AW30" s="406">
        <f t="shared" si="12"/>
        <v>0</v>
      </c>
      <c r="AX30" s="480">
        <f t="shared" si="28"/>
        <v>0</v>
      </c>
      <c r="AY30" s="406"/>
      <c r="AZ30" s="481" t="str">
        <f>IF(D30&lt;&gt;"",CONCATENATE(B30," ",C30," (",D30,"): ",' '!$A$197,": ",AD30," / ",' '!$A$199,": ",AF30," / ",' '!$A$198,": ",AK30,),"")</f>
        <v/>
      </c>
      <c r="BA30" s="481" t="str">
        <f t="shared" si="13"/>
        <v/>
      </c>
      <c r="BB30" s="482">
        <f t="shared" si="14"/>
        <v>0</v>
      </c>
      <c r="BC30" s="402" t="str">
        <f t="array" aca="1" ref="BC30" ca="1">IF(ROW(AZ29)&gt;COUNTIF($AZ:$AZ,"&gt;*"),"",INDEX(AZ:AZ,SMALL(IF(AZ$1:AZ$1001&lt;&gt;"",ROW($1:$101)),ROWS($1:29))))</f>
        <v/>
      </c>
      <c r="BD30" s="483"/>
      <c r="BE30" s="483"/>
      <c r="BF30" s="483"/>
      <c r="BG30" s="483"/>
      <c r="BH30" s="483"/>
      <c r="BI30" s="483"/>
      <c r="BJ30" s="483"/>
      <c r="BK30" s="483"/>
      <c r="BL30" s="484" t="b">
        <f t="shared" si="15"/>
        <v>0</v>
      </c>
    </row>
    <row r="31" spans="1:64" s="485" customFormat="1" ht="15.75" customHeight="1" x14ac:dyDescent="0.3">
      <c r="A31" s="475">
        <v>21</v>
      </c>
      <c r="B31" s="104"/>
      <c r="C31" s="105"/>
      <c r="D31" s="106" t="str">
        <f t="shared" si="37"/>
        <v/>
      </c>
      <c r="E31" s="107"/>
      <c r="F31" s="108"/>
      <c r="G31" s="108"/>
      <c r="H31" s="108"/>
      <c r="I31" s="108">
        <f t="shared" si="29"/>
        <v>1</v>
      </c>
      <c r="J31" s="108">
        <f t="shared" si="30"/>
        <v>2</v>
      </c>
      <c r="K31" s="108">
        <f t="shared" si="31"/>
        <v>3</v>
      </c>
      <c r="L31" s="108">
        <f t="shared" si="32"/>
        <v>4</v>
      </c>
      <c r="M31" s="476">
        <f t="shared" si="33"/>
        <v>5</v>
      </c>
      <c r="N31" s="118"/>
      <c r="O31" s="108"/>
      <c r="P31" s="108"/>
      <c r="Q31" s="108"/>
      <c r="R31" s="108"/>
      <c r="S31" s="108" t="str">
        <f t="shared" si="21"/>
        <v/>
      </c>
      <c r="T31" s="108" t="str">
        <f t="shared" si="22"/>
        <v/>
      </c>
      <c r="U31" s="108" t="str">
        <f t="shared" si="23"/>
        <v/>
      </c>
      <c r="V31" s="108" t="str">
        <f t="shared" si="24"/>
        <v/>
      </c>
      <c r="W31" s="108" t="str">
        <f t="shared" si="25"/>
        <v/>
      </c>
      <c r="X31" s="961"/>
      <c r="Y31" s="962"/>
      <c r="Z31" s="962"/>
      <c r="AA31" s="109"/>
      <c r="AB31" s="177"/>
      <c r="AC31" s="110"/>
      <c r="AD31" s="111">
        <f t="shared" si="2"/>
        <v>0</v>
      </c>
      <c r="AE31" s="111">
        <f xml:space="preserve"> IF(D31&lt;&gt;"",
SUMIF(Detailplan!$G$15:$G$228,Projektteam!D31,Detailplan!$K$15:$K$228)+AX31,0)</f>
        <v>0</v>
      </c>
      <c r="AF31" s="111">
        <f t="shared" si="3"/>
        <v>0</v>
      </c>
      <c r="AG31" s="477">
        <f t="shared" si="4"/>
        <v>0</v>
      </c>
      <c r="AH31" s="478">
        <f t="shared" si="5"/>
        <v>0</v>
      </c>
      <c r="AI31" s="478">
        <f t="shared" si="34"/>
        <v>0</v>
      </c>
      <c r="AJ31" s="478">
        <f t="shared" si="6"/>
        <v>0</v>
      </c>
      <c r="AK31" s="111">
        <f xml:space="preserve"> SUMIFS(Detailplan!$K$15:$K$228,Detailplan!$G$15:$G$228,Projektteam!$D$11:$D$31,Detailplan!$J$15:$J$228,"=1")+AT31</f>
        <v>0</v>
      </c>
      <c r="AL31" s="478">
        <f t="shared" si="35"/>
        <v>0</v>
      </c>
      <c r="AM31" s="105"/>
      <c r="AN31" s="479"/>
      <c r="AO31" s="403"/>
      <c r="AP31" s="404" t="str">
        <f t="array" ref="AP31">IF(ROW(AO31)&gt;COUNTIF($AO:$AO,"&gt;*"),"",INDEX(AO:AO,SMALL(IF(AO$1:AO$1001&lt;&gt;"",ROW($AO31:$AO1031)), ROW(AO31))))</f>
        <v/>
      </c>
      <c r="AQ31" s="406">
        <f t="shared" si="7"/>
        <v>0</v>
      </c>
      <c r="AR31" s="406">
        <f t="shared" si="8"/>
        <v>0</v>
      </c>
      <c r="AS31" s="406">
        <f t="shared" si="9"/>
        <v>0</v>
      </c>
      <c r="AT31" s="480">
        <f t="shared" si="36"/>
        <v>0</v>
      </c>
      <c r="AU31" s="406">
        <f t="shared" si="10"/>
        <v>0</v>
      </c>
      <c r="AV31" s="406">
        <f t="shared" si="11"/>
        <v>0</v>
      </c>
      <c r="AW31" s="406">
        <f t="shared" si="12"/>
        <v>0</v>
      </c>
      <c r="AX31" s="480">
        <f t="shared" si="28"/>
        <v>0</v>
      </c>
      <c r="AY31" s="406"/>
      <c r="AZ31" s="481" t="str">
        <f>IF(D31&lt;&gt;"",CONCATENATE(B31," ",C31," (",D31,"): ",' '!$A$197,": ",AD31," / ",' '!$A$199,": ",AF31," / ",' '!$A$198,": ",AK31,),"")</f>
        <v/>
      </c>
      <c r="BA31" s="481" t="str">
        <f t="shared" si="13"/>
        <v/>
      </c>
      <c r="BB31" s="482">
        <f t="shared" si="14"/>
        <v>0</v>
      </c>
      <c r="BC31" s="402" t="str">
        <f t="array" aca="1" ref="BC31" ca="1">IF(ROW(AZ30)&gt;COUNTIF($AZ:$AZ,"&gt;*"),"",INDEX(AZ:AZ,SMALL(IF(AZ$1:AZ$1001&lt;&gt;"",ROW($1:$101)),ROWS($1:30))))</f>
        <v/>
      </c>
      <c r="BD31" s="483"/>
      <c r="BE31" s="483"/>
      <c r="BF31" s="483"/>
      <c r="BG31" s="483"/>
      <c r="BH31" s="483"/>
      <c r="BI31" s="483"/>
      <c r="BJ31" s="483"/>
      <c r="BK31" s="483"/>
      <c r="BL31" s="484" t="b">
        <f t="shared" si="15"/>
        <v>0</v>
      </c>
    </row>
    <row r="32" spans="1:64" s="501" customFormat="1" ht="15.6" x14ac:dyDescent="0.3">
      <c r="A32" s="486">
        <v>22</v>
      </c>
      <c r="B32" s="487"/>
      <c r="C32" s="487"/>
      <c r="D32" s="488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89"/>
      <c r="T32" s="489"/>
      <c r="U32" s="489"/>
      <c r="V32" s="489"/>
      <c r="W32" s="489"/>
      <c r="X32" s="489"/>
      <c r="Y32" s="489"/>
      <c r="Z32" s="487"/>
      <c r="AA32" s="487"/>
      <c r="AB32" s="490" t="str">
        <f ca="1">IF($BM$3=TRUE,' '!A191&amp;" ["&amp;Logo!D13&amp;"]",' '!A191&amp;" [h]")</f>
        <v>Total interne [CHF]</v>
      </c>
      <c r="AC32" s="491"/>
      <c r="AD32" s="492">
        <f t="shared" ref="AD32:AL32" si="38">SUMIF($BB11:$BB31,"=1",AD11:AD31)</f>
        <v>4</v>
      </c>
      <c r="AE32" s="492">
        <f t="shared" si="38"/>
        <v>4</v>
      </c>
      <c r="AF32" s="492">
        <f t="shared" si="38"/>
        <v>0</v>
      </c>
      <c r="AG32" s="493">
        <f t="shared" si="38"/>
        <v>640</v>
      </c>
      <c r="AH32" s="493">
        <f t="shared" si="38"/>
        <v>640</v>
      </c>
      <c r="AI32" s="493">
        <f t="shared" si="38"/>
        <v>0</v>
      </c>
      <c r="AJ32" s="493">
        <f t="shared" si="38"/>
        <v>0</v>
      </c>
      <c r="AK32" s="494">
        <f t="shared" si="38"/>
        <v>0</v>
      </c>
      <c r="AL32" s="495">
        <f t="shared" si="38"/>
        <v>0</v>
      </c>
      <c r="AM32" s="105"/>
      <c r="AN32" s="496"/>
      <c r="AO32" s="497"/>
      <c r="AP32" s="405"/>
      <c r="AQ32" s="405"/>
      <c r="AR32" s="405"/>
      <c r="AS32" s="405"/>
      <c r="AT32" s="406"/>
      <c r="AU32" s="406"/>
      <c r="AV32" s="406"/>
      <c r="AW32" s="406"/>
      <c r="AX32" s="406"/>
      <c r="AY32" s="406"/>
      <c r="AZ32" s="498" t="str">
        <f>D36&amp;" ("&amp;F36&amp;")"</f>
        <v>T1 (ImS) (3)</v>
      </c>
      <c r="BA32" s="498"/>
      <c r="BB32" s="499"/>
      <c r="BC32" s="402" t="str">
        <f t="array" aca="1" ref="BC32" ca="1">IF(ROW(AZ31)&gt;COUNTIF($AZ:$AZ,"&gt;*"),"",INDEX(AZ:AZ,SMALL(IF(AZ$1:AZ$1001&lt;&gt;"",ROW($1:$101)),ROWS($1:31))))</f>
        <v/>
      </c>
      <c r="BD32" s="496"/>
      <c r="BE32" s="496"/>
      <c r="BF32" s="496"/>
      <c r="BG32" s="496"/>
      <c r="BH32" s="496"/>
      <c r="BI32" s="496"/>
      <c r="BJ32" s="496"/>
      <c r="BK32" s="496"/>
      <c r="BL32" s="500"/>
    </row>
    <row r="33" spans="1:55" s="501" customFormat="1" ht="15.6" x14ac:dyDescent="0.3">
      <c r="A33" s="486">
        <v>23</v>
      </c>
      <c r="B33" s="502"/>
      <c r="C33" s="502"/>
      <c r="D33" s="503"/>
      <c r="E33" s="504"/>
      <c r="F33" s="504"/>
      <c r="G33" s="504"/>
      <c r="H33" s="504"/>
      <c r="I33" s="504"/>
      <c r="J33" s="504"/>
      <c r="K33" s="504"/>
      <c r="L33" s="504"/>
      <c r="M33" s="504"/>
      <c r="N33" s="504"/>
      <c r="O33" s="504"/>
      <c r="P33" s="504"/>
      <c r="Q33" s="504"/>
      <c r="R33" s="504"/>
      <c r="S33" s="504"/>
      <c r="T33" s="504"/>
      <c r="U33" s="504"/>
      <c r="V33" s="504"/>
      <c r="W33" s="504"/>
      <c r="X33" s="504"/>
      <c r="Y33" s="504"/>
      <c r="Z33" s="502"/>
      <c r="AA33" s="502"/>
      <c r="AB33" s="505" t="str">
        <f ca="1">' '!A192&amp;" ["&amp;Logo!D13&amp;"]"</f>
        <v>Total externe [CHF]</v>
      </c>
      <c r="AC33" s="506"/>
      <c r="AD33" s="507">
        <f>AD34-AD32</f>
        <v>0</v>
      </c>
      <c r="AE33" s="507">
        <f t="shared" ref="AE33:AI33" si="39">AE34-AE32</f>
        <v>0</v>
      </c>
      <c r="AF33" s="507">
        <f t="shared" si="39"/>
        <v>0</v>
      </c>
      <c r="AG33" s="508">
        <f>SUMIF($BB11:$BB31,"=0",AG11:AG31)</f>
        <v>0</v>
      </c>
      <c r="AH33" s="508">
        <f t="shared" si="39"/>
        <v>0</v>
      </c>
      <c r="AI33" s="508">
        <f t="shared" si="39"/>
        <v>0</v>
      </c>
      <c r="AJ33" s="508">
        <f>SUMIF($BB11:$BB31,"=0",AJ11:AJ31)</f>
        <v>0</v>
      </c>
      <c r="AK33" s="509">
        <f>AK34-AK32</f>
        <v>0</v>
      </c>
      <c r="AL33" s="510">
        <f>SUMIF($BB11:$BB31,"=0",AL11:AL31)</f>
        <v>0</v>
      </c>
      <c r="AM33" s="105"/>
      <c r="AN33" s="496"/>
      <c r="AO33" s="497"/>
      <c r="AP33" s="405"/>
      <c r="AQ33" s="405"/>
      <c r="AR33" s="405"/>
      <c r="AS33" s="405"/>
      <c r="AT33" s="406"/>
      <c r="AU33" s="406"/>
      <c r="AV33" s="406"/>
      <c r="AW33" s="406"/>
      <c r="AX33" s="406"/>
      <c r="AY33" s="406"/>
      <c r="AZ33" s="498" t="str">
        <f>D37&amp;" ("&amp;F37&amp;")"</f>
        <v xml:space="preserve"> (0)</v>
      </c>
      <c r="BA33" s="498"/>
      <c r="BB33" s="499"/>
      <c r="BC33" s="402" t="str">
        <f t="array" aca="1" ref="BC33" ca="1">IF(ROW(AZ32)&gt;COUNTIF($AZ:$AZ,"&gt;*"),"",INDEX(AZ:AZ,SMALL(IF(AZ$1:AZ$1001&lt;&gt;"",ROW($1:$101)),ROWS($1:32))))</f>
        <v/>
      </c>
    </row>
    <row r="34" spans="1:55" s="501" customFormat="1" ht="15.6" x14ac:dyDescent="0.3">
      <c r="A34" s="486">
        <v>24</v>
      </c>
      <c r="B34" s="511"/>
      <c r="C34" s="511"/>
      <c r="D34" s="512"/>
      <c r="E34" s="513"/>
      <c r="F34" s="513"/>
      <c r="G34" s="513"/>
      <c r="H34" s="513"/>
      <c r="I34" s="513"/>
      <c r="J34" s="513"/>
      <c r="K34" s="513"/>
      <c r="L34" s="513"/>
      <c r="M34" s="513"/>
      <c r="N34" s="513"/>
      <c r="O34" s="513"/>
      <c r="P34" s="513"/>
      <c r="Q34" s="513"/>
      <c r="R34" s="513"/>
      <c r="S34" s="513"/>
      <c r="T34" s="513"/>
      <c r="U34" s="513"/>
      <c r="V34" s="513"/>
      <c r="W34" s="513"/>
      <c r="X34" s="513"/>
      <c r="Y34" s="513"/>
      <c r="Z34" s="511"/>
      <c r="AA34" s="511"/>
      <c r="AB34" s="514" t="str">
        <f ca="1">' '!A193</f>
        <v>TOTAL</v>
      </c>
      <c r="AC34" s="515"/>
      <c r="AD34" s="516">
        <f t="shared" ref="AD34:AI34" si="40">SUM(AD11:AD31)</f>
        <v>4</v>
      </c>
      <c r="AE34" s="516">
        <f t="shared" si="40"/>
        <v>4</v>
      </c>
      <c r="AF34" s="516">
        <f t="shared" si="40"/>
        <v>0</v>
      </c>
      <c r="AG34" s="517">
        <f>IF($BM$3=TRUE,SUM(AG11:AG31),"-")</f>
        <v>640</v>
      </c>
      <c r="AH34" s="517">
        <f t="shared" si="40"/>
        <v>640</v>
      </c>
      <c r="AI34" s="517">
        <f t="shared" si="40"/>
        <v>0</v>
      </c>
      <c r="AJ34" s="517">
        <f>IF($BM$3=TRUE,SUM(AJ11:AJ31),"-")</f>
        <v>0</v>
      </c>
      <c r="AK34" s="518">
        <f>SUM(AK11:AK31)</f>
        <v>0</v>
      </c>
      <c r="AL34" s="519">
        <f>SUM(AL32:AL33)</f>
        <v>0</v>
      </c>
      <c r="AM34" s="105"/>
      <c r="AN34" s="496"/>
      <c r="AO34" s="497"/>
      <c r="AP34" s="405"/>
      <c r="AQ34" s="405"/>
      <c r="AR34" s="405"/>
      <c r="AS34" s="405"/>
      <c r="AT34" s="406"/>
      <c r="AU34" s="406"/>
      <c r="AV34" s="406"/>
      <c r="AW34" s="406"/>
      <c r="AX34" s="406"/>
      <c r="AY34" s="406"/>
      <c r="AZ34" s="498" t="str">
        <f>D38&amp;" ("&amp;F38&amp;")"</f>
        <v xml:space="preserve"> (0)</v>
      </c>
      <c r="BA34" s="498"/>
      <c r="BB34" s="499"/>
      <c r="BC34" s="402" t="str">
        <f t="array" aca="1" ref="BC34" ca="1">IF(ROW(AZ33)&gt;COUNTIF($AZ:$AZ,"&gt;*"),"",INDEX(AZ:AZ,SMALL(IF(AZ$1:AZ$1001&lt;&gt;"",ROW($1:$101)),ROWS($1:33))))</f>
        <v/>
      </c>
    </row>
    <row r="35" spans="1:55" x14ac:dyDescent="0.3">
      <c r="B35" s="520" t="s">
        <v>1705</v>
      </c>
    </row>
    <row r="36" spans="1:55" ht="15.6" hidden="1" x14ac:dyDescent="0.3">
      <c r="C36" s="523"/>
      <c r="D36" s="419" t="str">
        <f>IF(E36&lt;&gt;"",E36,
IF(E42&lt;&gt;"",E42,
IF(E48&lt;&gt;"",E48,"")))</f>
        <v>T1 (ImS)</v>
      </c>
      <c r="E36" s="419" t="str">
        <f>IF(IFERROR(VLOOKUP(1,$F$11:$F$31,1,FALSE),"")=1,S36,"")</f>
        <v>T1 (ImS)</v>
      </c>
      <c r="F36" s="419">
        <f>G36+G42+H48</f>
        <v>3</v>
      </c>
      <c r="G36" s="419">
        <f>COUNTIFS($F$11:$H$31,1)</f>
        <v>3</v>
      </c>
      <c r="H36" s="419"/>
      <c r="I36" s="419"/>
      <c r="J36" s="419"/>
      <c r="K36" s="419"/>
      <c r="L36" s="419"/>
      <c r="M36" s="419"/>
      <c r="N36" s="422">
        <f>COUNTIFS(N11:N31,"T1")</f>
        <v>1</v>
      </c>
      <c r="O36" s="422">
        <f t="shared" ref="O36:R36" si="41">COUNTIFS(O11:O31,"T1")</f>
        <v>0</v>
      </c>
      <c r="P36" s="422">
        <f t="shared" si="41"/>
        <v>0</v>
      </c>
      <c r="Q36" s="422">
        <f t="shared" si="41"/>
        <v>0</v>
      </c>
      <c r="R36" s="422">
        <f t="shared" si="41"/>
        <v>0</v>
      </c>
      <c r="S36" s="422" t="str">
        <f>IF(S11&lt;&gt;"",S11,
IF(S12&lt;&gt;"",S12,
IF(S13&lt;&gt;"",S13,
IF(S14&lt;&gt;"",S14,
IF(S15&lt;&gt;"",S15,
IF(S16&lt;&gt;"",S16,
IF(S17&lt;&gt;"",S17,
IF(S18&lt;&gt;"",S18,
IF(S19&lt;&gt;"",S19,
IF(S20&lt;&gt;"",S20,
IF(S21&lt;&gt;"",S21,
IF(S22&lt;&gt;"",S22,
IF(S23&lt;&gt;"",S23,
IF(S24&lt;&gt;"",S24,
IF(S25&lt;&gt;"",S25,
IF(S26&lt;&gt;"",S26,
IF(S27&lt;&gt;"",S27,
IF(S28&lt;&gt;"",S28,
IF(S29&lt;&gt;"",S29,
IF(S30&lt;&gt;"",S30,
IF(S31&lt;&gt;"",S31,
"Team 1")))))))))))))))))))))</f>
        <v>T1 (ImS)</v>
      </c>
      <c r="T36" s="422" t="str">
        <f>IF(T11&lt;&gt;"",T11,
IF(T12&lt;&gt;"",T12,
IF(T13&lt;&gt;"",T13,
IF(T14&lt;&gt;"",T14,
IF(T15&lt;&gt;"",T15,
IF(T16&lt;&gt;"",T16,
IF(T17&lt;&gt;"",T17,
IF(T18&lt;&gt;"",T18,
IF(T19&lt;&gt;"",T19,
IF(T20&lt;&gt;"",T20,
IF(T21&lt;&gt;"",T21,
IF(T22&lt;&gt;"",T22,
IF(T23&lt;&gt;"",T23,
IF(T24&lt;&gt;"",T24,
IF(T25&lt;&gt;"",T25,
IF(T26&lt;&gt;"",T26,
IF(T27&lt;&gt;"",T27,
IF(T28&lt;&gt;"",T28,
IF(T29&lt;&gt;"",T29,
IF(T30&lt;&gt;"",T30,
IF(T31&lt;&gt;"",T31,
"Team 2")))))))))))))))))))))</f>
        <v>Team 2</v>
      </c>
      <c r="U36" s="422" t="str">
        <f>IF(U11&lt;&gt;"",U11,
IF(U12&lt;&gt;"",U12,
IF(U13&lt;&gt;"",U13,
IF(U14&lt;&gt;"",U14,
IF(U15&lt;&gt;"",U15,
IF(U16&lt;&gt;"",U16,
IF(U17&lt;&gt;"",U17,
IF(U18&lt;&gt;"",U18,
IF(U19&lt;&gt;"",U19,
IF(U20&lt;&gt;"",U20,
IF(U21&lt;&gt;"",U21,
IF(U22&lt;&gt;"",U22,
IF(U23&lt;&gt;"",U23,
IF(U24&lt;&gt;"",U24,
IF(U25&lt;&gt;"",U25,
IF(U26&lt;&gt;"",U26,
IF(U27&lt;&gt;"",U27,
IF(U28&lt;&gt;"",U28,
IF(U29&lt;&gt;"",U29,
IF(U30&lt;&gt;"",U30,
IF(U31&lt;&gt;"",U31,
"Team 3")))))))))))))))))))))</f>
        <v>Team 3</v>
      </c>
      <c r="V36" s="422" t="str">
        <f>IF(V11&lt;&gt;"",V11,
IF(V12&lt;&gt;"",V12,
IF(V13&lt;&gt;"",V13,
IF(V14&lt;&gt;"",V14,
IF(V15&lt;&gt;"",V15,
IF(V16&lt;&gt;"",V16,
IF(V17&lt;&gt;"",V17,
IF(V18&lt;&gt;"",V18,
IF(V19&lt;&gt;"",V19,
IF(V20&lt;&gt;"",V20,
IF(V21&lt;&gt;"",V21,
IF(V22&lt;&gt;"",V22,
IF(V23&lt;&gt;"",V23,
IF(V24&lt;&gt;"",V24,
IF(V25&lt;&gt;"",V25,
IF(V26&lt;&gt;"",V26,
IF(V27&lt;&gt;"",V27,
IF(V28&lt;&gt;"",V28,
IF(V29&lt;&gt;"",V29,
IF(V30&lt;&gt;"",V30,
IF(V31&lt;&gt;"",V31,
"Team 4")))))))))))))))))))))</f>
        <v>Team 4</v>
      </c>
      <c r="W36" s="422" t="str">
        <f>IF(W11&lt;&gt;"",W11,
IF(W12&lt;&gt;"",W12,
IF(W13&lt;&gt;"",W13,
IF(W14&lt;&gt;"",W14,
IF(W15&lt;&gt;"",W15,
IF(W16&lt;&gt;"",W16,
IF(W17&lt;&gt;"",W17,
IF(W18&lt;&gt;"",W18,
IF(W19&lt;&gt;"",W19,
IF(W20&lt;&gt;"",W20,
IF(W21&lt;&gt;"",W21,
IF(W22&lt;&gt;"",W22,
IF(W23&lt;&gt;"",W23,
IF(W24&lt;&gt;"",W24,
IF(W25&lt;&gt;"",W25,
IF(W26&lt;&gt;"",W26,
IF(W27&lt;&gt;"",W27,
IF(W28&lt;&gt;"",W28,
IF(W29&lt;&gt;"",W29,
IF(W30&lt;&gt;"",W30,
IF(W31&lt;&gt;"",W31,
"Team 5")))))))))))))))))))))</f>
        <v>Team 5</v>
      </c>
      <c r="X36" s="524">
        <f>IF(AND(F36&lt;&gt;"",AK36&lt;&gt;0),AK36,0)</f>
        <v>0</v>
      </c>
      <c r="Y36" s="419">
        <f>IF(AE36&lt;&gt;0,AE36,AK36)</f>
        <v>0</v>
      </c>
      <c r="Z36" s="419">
        <v>1</v>
      </c>
      <c r="AA36" s="419"/>
      <c r="AB36" s="419"/>
      <c r="AC36" s="419"/>
      <c r="AD36" s="419"/>
      <c r="AE36" s="419">
        <f>SUMIFS(Detailplan!$K$15:$K$228,Detailplan!$G$15:$G$228,Projektteam!$D$11:$D$40,Detailplan!$J$15:$J$228,"&gt;=1")</f>
        <v>0</v>
      </c>
      <c r="AF36" s="419"/>
      <c r="AG36" s="419"/>
      <c r="AH36" s="419"/>
      <c r="AI36" s="419"/>
      <c r="AJ36" s="419"/>
      <c r="AK36" s="419">
        <f xml:space="preserve"> SUMIFS(Detailplan!$K$15:$K$228,Detailplan!$G$15:$G$228,Projektteam!$D$11:$D$40,Detailplan!$J$15:$J$228,"=1")</f>
        <v>0</v>
      </c>
      <c r="AL36" s="525"/>
      <c r="AM36" s="525"/>
      <c r="AO36" s="497"/>
      <c r="AP36" s="405"/>
      <c r="AQ36" s="405"/>
      <c r="AR36" s="405"/>
      <c r="AS36" s="405"/>
      <c r="AT36" s="406"/>
      <c r="AU36" s="406"/>
      <c r="AV36" s="406"/>
      <c r="AW36" s="406"/>
      <c r="AX36" s="406"/>
      <c r="AY36" s="406"/>
      <c r="AZ36" s="498" t="str">
        <f>D39&amp;" ("&amp;F39&amp;")"</f>
        <v xml:space="preserve"> (0)</v>
      </c>
      <c r="BC36" s="402" t="str">
        <f t="array" aca="1" ref="BC36" ca="1">IF(ROW(AZ34)&gt;COUNTIF($AZ:$AZ,"&gt;*"),"",INDEX(AZ:AZ,SMALL(IF(AZ$1:AZ$1001&lt;&gt;"",ROW($1:$101)),ROWS($1:34))))</f>
        <v/>
      </c>
    </row>
    <row r="37" spans="1:55" s="419" customFormat="1" ht="17.25" hidden="1" customHeight="1" x14ac:dyDescent="0.3">
      <c r="A37" s="526"/>
      <c r="C37" s="523"/>
      <c r="D37" s="419" t="str">
        <f t="shared" ref="D37:D40" si="42">IF(E37&lt;&gt;"",E37,
IF(E43&lt;&gt;"",E43,
IF(E49&lt;&gt;"",E49,"")))</f>
        <v/>
      </c>
      <c r="E37" s="419" t="str">
        <f>IF(IFERROR(VLOOKUP(2,$F$11:$F$31,1,FALSE),"")=2,T36,"")</f>
        <v/>
      </c>
      <c r="F37" s="419">
        <f t="shared" ref="F37:F40" si="43">G37+G43+H49</f>
        <v>0</v>
      </c>
      <c r="G37" s="419">
        <f>COUNTIFS($F$11:$H$31,2)</f>
        <v>0</v>
      </c>
      <c r="N37" s="422">
        <f>COUNTIFS(N11:N31,"T2")</f>
        <v>0</v>
      </c>
      <c r="O37" s="422">
        <f t="shared" ref="O37:R37" si="44">COUNTIFS(O11:O31,"T2")</f>
        <v>0</v>
      </c>
      <c r="P37" s="422">
        <f t="shared" si="44"/>
        <v>0</v>
      </c>
      <c r="Q37" s="422">
        <f t="shared" si="44"/>
        <v>0</v>
      </c>
      <c r="R37" s="422">
        <f t="shared" si="44"/>
        <v>0</v>
      </c>
      <c r="S37" s="422"/>
      <c r="T37" s="422"/>
      <c r="U37" s="422"/>
      <c r="V37" s="422"/>
      <c r="W37" s="422"/>
      <c r="X37" s="524">
        <f>IF(AND(F37&lt;&gt;"",AK37&lt;&gt;0),AK37,0)</f>
        <v>0</v>
      </c>
      <c r="Y37" s="419">
        <f t="shared" ref="Y37:Y40" si="45">IF(AE37&lt;&gt;0,AE37,AK37)</f>
        <v>0</v>
      </c>
      <c r="Z37" s="419">
        <v>2</v>
      </c>
      <c r="AE37" s="419">
        <f>SUMIFS(Detailplan!$K$15:$K$228,Detailplan!$G$15:$G$228,Projektteam!$D$11:$D$40,Detailplan!$J$15:$J$228,"&gt;=1")</f>
        <v>0</v>
      </c>
      <c r="AK37" s="419">
        <f xml:space="preserve"> SUMIFS(Detailplan!$K$15:$K$228,Detailplan!$G$15:$G$228,Projektteam!$D$11:$D$40,Detailplan!$J$15:$J$228,"=1")</f>
        <v>0</v>
      </c>
      <c r="AM37" s="527"/>
      <c r="AO37" s="497"/>
      <c r="AP37" s="405"/>
      <c r="AQ37" s="405"/>
      <c r="AR37" s="405"/>
      <c r="AS37" s="405"/>
      <c r="AT37" s="406"/>
      <c r="AU37" s="406"/>
      <c r="AV37" s="406"/>
      <c r="AW37" s="406"/>
      <c r="AX37" s="406"/>
      <c r="AY37" s="406"/>
      <c r="AZ37" s="498" t="str">
        <f>D40&amp;" ("&amp;F40&amp;")"</f>
        <v xml:space="preserve"> (0)</v>
      </c>
      <c r="BA37" s="420"/>
      <c r="BB37" s="408"/>
      <c r="BC37" s="402" t="str">
        <f t="array" aca="1" ref="BC37" ca="1">IF(ROW(AZ36)&gt;COUNTIF($AZ:$AZ,"&gt;*"),"",INDEX(AZ:AZ,SMALL(IF(AZ$1:AZ$1001&lt;&gt;"",ROW($1:$101)),ROWS($1:36))))</f>
        <v/>
      </c>
    </row>
    <row r="38" spans="1:55" s="419" customFormat="1" ht="15.6" hidden="1" x14ac:dyDescent="0.3">
      <c r="A38" s="526"/>
      <c r="C38" s="523"/>
      <c r="D38" s="419" t="str">
        <f t="shared" si="42"/>
        <v/>
      </c>
      <c r="E38" s="419" t="str">
        <f>IF(IFERROR(VLOOKUP(3,$F$11:$G$31,1,FALSE),"")=3,U36,"")</f>
        <v/>
      </c>
      <c r="F38" s="419">
        <f t="shared" si="43"/>
        <v>0</v>
      </c>
      <c r="G38" s="419">
        <f>COUNTIFS($F$11:$H$31,3)</f>
        <v>0</v>
      </c>
      <c r="N38" s="422">
        <f>COUNTIFS(N11:N31,"T3")</f>
        <v>0</v>
      </c>
      <c r="O38" s="422">
        <f t="shared" ref="O38:R38" si="46">COUNTIFS(O11:O31,"T3")</f>
        <v>0</v>
      </c>
      <c r="P38" s="422">
        <f t="shared" si="46"/>
        <v>0</v>
      </c>
      <c r="Q38" s="422">
        <f t="shared" si="46"/>
        <v>0</v>
      </c>
      <c r="R38" s="422">
        <f t="shared" si="46"/>
        <v>0</v>
      </c>
      <c r="S38" s="422"/>
      <c r="T38" s="422"/>
      <c r="U38" s="422"/>
      <c r="V38" s="422"/>
      <c r="W38" s="422"/>
      <c r="X38" s="524">
        <f t="shared" ref="X38:X52" si="47">IF(AND(F38&lt;&gt;"",AK38&lt;&gt;0),AK38,0)</f>
        <v>0</v>
      </c>
      <c r="Y38" s="419">
        <f t="shared" si="45"/>
        <v>0</v>
      </c>
      <c r="Z38" s="419">
        <v>3</v>
      </c>
      <c r="AE38" s="419">
        <f>SUMIFS(Detailplan!$K$15:$K$228,Detailplan!$G$15:$G$228,Projektteam!$D$11:$D$40,Detailplan!$J$15:$J$228,"&gt;=1")</f>
        <v>0</v>
      </c>
      <c r="AK38" s="419">
        <f xml:space="preserve"> SUMIFS(Detailplan!$K$15:$K$228,Detailplan!$G$15:$G$228,Projektteam!$D$11:$D$40,Detailplan!$J$15:$J$228,"=1")</f>
        <v>0</v>
      </c>
      <c r="AO38" s="497"/>
      <c r="AP38" s="405"/>
      <c r="AQ38" s="405"/>
      <c r="AR38" s="405"/>
      <c r="AS38" s="405"/>
      <c r="AT38" s="406"/>
      <c r="AU38" s="406"/>
      <c r="AV38" s="406"/>
      <c r="AW38" s="406"/>
      <c r="AX38" s="406"/>
      <c r="AY38" s="406"/>
      <c r="AZ38" s="420"/>
      <c r="BA38" s="420"/>
      <c r="BB38" s="408"/>
    </row>
    <row r="39" spans="1:55" s="419" customFormat="1" hidden="1" x14ac:dyDescent="0.3">
      <c r="A39" s="526"/>
      <c r="C39" s="523"/>
      <c r="D39" s="419" t="str">
        <f t="shared" si="42"/>
        <v/>
      </c>
      <c r="E39" s="419" t="str">
        <f>IF(IFERROR(VLOOKUP(4,$F$11:$F$31,1,FALSE),"")=4,V36,"")</f>
        <v/>
      </c>
      <c r="F39" s="419">
        <f t="shared" si="43"/>
        <v>0</v>
      </c>
      <c r="G39" s="419">
        <f>COUNTIFS($F$11:$H$31,4)</f>
        <v>0</v>
      </c>
      <c r="N39" s="422">
        <f>COUNTIFS(N11:N31,"T4")</f>
        <v>0</v>
      </c>
      <c r="O39" s="422">
        <f t="shared" ref="O39:R39" si="48">COUNTIFS(O11:O31,"T4")</f>
        <v>0</v>
      </c>
      <c r="P39" s="422">
        <f t="shared" si="48"/>
        <v>0</v>
      </c>
      <c r="Q39" s="422">
        <f t="shared" si="48"/>
        <v>0</v>
      </c>
      <c r="R39" s="422">
        <f t="shared" si="48"/>
        <v>0</v>
      </c>
      <c r="S39" s="422"/>
      <c r="T39" s="422"/>
      <c r="U39" s="422"/>
      <c r="V39" s="422"/>
      <c r="W39" s="422"/>
      <c r="X39" s="524">
        <f t="shared" si="47"/>
        <v>0</v>
      </c>
      <c r="Y39" s="419">
        <f t="shared" si="45"/>
        <v>0</v>
      </c>
      <c r="Z39" s="419">
        <v>4</v>
      </c>
      <c r="AE39" s="419">
        <f>SUMIFS(Detailplan!$K$15:$K$228,Detailplan!$G$15:$G$228,Projektteam!$D$11:$D$40,Detailplan!$J$15:$J$228,"&gt;=1")</f>
        <v>0</v>
      </c>
      <c r="AK39" s="419">
        <f xml:space="preserve"> SUMIFS(Detailplan!$K$15:$K$228,Detailplan!$G$15:$G$228,Projektteam!$D$11:$D$40,Detailplan!$J$15:$J$228,"=1")</f>
        <v>0</v>
      </c>
      <c r="AO39" s="521"/>
      <c r="AP39" s="420"/>
      <c r="AQ39" s="420"/>
      <c r="AR39" s="420"/>
      <c r="AS39" s="420"/>
      <c r="AT39" s="522"/>
      <c r="AU39" s="522"/>
      <c r="AV39" s="522"/>
      <c r="AW39" s="522"/>
      <c r="AX39" s="522"/>
      <c r="AY39" s="522"/>
      <c r="AZ39" s="420"/>
      <c r="BA39" s="420"/>
      <c r="BB39" s="408"/>
    </row>
    <row r="40" spans="1:55" s="419" customFormat="1" hidden="1" x14ac:dyDescent="0.3">
      <c r="A40" s="526"/>
      <c r="C40" s="523"/>
      <c r="D40" s="419" t="str">
        <f t="shared" si="42"/>
        <v/>
      </c>
      <c r="E40" s="419" t="str">
        <f>IF(IFERROR(VLOOKUP(5,$F$11:$F$31,1,FALSE),"")=5,W36,"")</f>
        <v/>
      </c>
      <c r="F40" s="419">
        <f t="shared" si="43"/>
        <v>0</v>
      </c>
      <c r="G40" s="419">
        <f>COUNTIFS($F$11:$H$31,5)</f>
        <v>0</v>
      </c>
      <c r="N40" s="422">
        <f>COUNTIFS(N11:N31,"T5")</f>
        <v>0</v>
      </c>
      <c r="O40" s="422">
        <f t="shared" ref="O40:R40" si="49">COUNTIFS(O11:O31,"T5")</f>
        <v>0</v>
      </c>
      <c r="P40" s="422">
        <f t="shared" si="49"/>
        <v>0</v>
      </c>
      <c r="Q40" s="422">
        <f t="shared" si="49"/>
        <v>0</v>
      </c>
      <c r="R40" s="422">
        <f t="shared" si="49"/>
        <v>0</v>
      </c>
      <c r="S40" s="422"/>
      <c r="T40" s="422"/>
      <c r="U40" s="422"/>
      <c r="V40" s="422"/>
      <c r="W40" s="422"/>
      <c r="X40" s="524">
        <f t="shared" si="47"/>
        <v>0</v>
      </c>
      <c r="Y40" s="419">
        <f t="shared" si="45"/>
        <v>0</v>
      </c>
      <c r="Z40" s="419">
        <v>5</v>
      </c>
      <c r="AE40" s="419">
        <f>SUMIFS(Detailplan!$K$15:$K$228,Detailplan!$G$15:$G$228,Projektteam!$D$11:$D$40,Detailplan!$J$15:$J$228,"&gt;=1")</f>
        <v>0</v>
      </c>
      <c r="AK40" s="419">
        <f xml:space="preserve"> SUMIFS(Detailplan!$K$15:$K$228,Detailplan!$G$15:$G$228,Projektteam!$D$11:$D$40,Detailplan!$J$15:$J$228,"=1")</f>
        <v>0</v>
      </c>
      <c r="AO40" s="521"/>
      <c r="AP40" s="420"/>
      <c r="AQ40" s="420"/>
      <c r="AR40" s="420"/>
      <c r="AS40" s="420"/>
      <c r="AT40" s="522"/>
      <c r="AU40" s="522"/>
      <c r="AV40" s="522"/>
      <c r="AW40" s="522"/>
      <c r="AX40" s="522"/>
      <c r="AY40" s="522"/>
      <c r="AZ40" s="420"/>
      <c r="BA40" s="420"/>
      <c r="BB40" s="408"/>
    </row>
    <row r="41" spans="1:55" s="419" customFormat="1" hidden="1" x14ac:dyDescent="0.3">
      <c r="A41" s="526"/>
      <c r="C41" s="523"/>
      <c r="AO41" s="521"/>
      <c r="AP41" s="420"/>
      <c r="AQ41" s="420"/>
      <c r="AR41" s="420"/>
      <c r="AS41" s="420"/>
      <c r="AT41" s="522"/>
      <c r="AU41" s="522"/>
      <c r="AV41" s="522"/>
      <c r="AW41" s="522"/>
      <c r="AX41" s="522"/>
      <c r="AY41" s="522"/>
      <c r="AZ41" s="420"/>
      <c r="BA41" s="420"/>
      <c r="BB41" s="408"/>
    </row>
    <row r="42" spans="1:55" s="419" customFormat="1" hidden="1" x14ac:dyDescent="0.3">
      <c r="A42" s="526"/>
      <c r="C42" s="523"/>
      <c r="D42" s="419" t="str">
        <f>IF(IFERROR(VLOOKUP(1,$G$11:$G$31,1,FALSE),"")=1,"Team 1","")</f>
        <v/>
      </c>
      <c r="E42" s="419" t="str">
        <f>IF(IFERROR(VLOOKUP(1,$G$11:$G$31,1,FALSE),"")=1,S36,"")</f>
        <v/>
      </c>
      <c r="G42" s="419">
        <f>COUNTIFS($G$11:$G$31,1)</f>
        <v>0</v>
      </c>
      <c r="N42" s="419" t="str">
        <f>IF(SUM(N36:R36)&gt;0,"T1",0)</f>
        <v>T1</v>
      </c>
      <c r="O42" s="419" t="str">
        <f>IF(N42="T1","","T1")</f>
        <v/>
      </c>
      <c r="X42" s="524">
        <f t="shared" si="47"/>
        <v>0</v>
      </c>
      <c r="Z42" s="419">
        <v>1</v>
      </c>
      <c r="AO42" s="521"/>
      <c r="AP42" s="420"/>
      <c r="AQ42" s="420"/>
      <c r="AR42" s="420"/>
      <c r="AS42" s="420"/>
      <c r="AT42" s="522"/>
      <c r="AU42" s="522"/>
      <c r="AV42" s="522"/>
      <c r="AW42" s="522"/>
      <c r="AX42" s="522"/>
      <c r="AY42" s="522"/>
      <c r="AZ42" s="420"/>
      <c r="BA42" s="420"/>
      <c r="BB42" s="408"/>
    </row>
    <row r="43" spans="1:55" s="419" customFormat="1" hidden="1" x14ac:dyDescent="0.3">
      <c r="A43" s="526"/>
      <c r="C43" s="523"/>
      <c r="E43" s="419" t="str">
        <f>IF(IFERROR(VLOOKUP(2,$G$11:$G$31,1,FALSE),"")=2,T36,"")</f>
        <v/>
      </c>
      <c r="G43" s="419">
        <f>COUNTIFS($G$11:$G$31,2)</f>
        <v>0</v>
      </c>
      <c r="N43" s="419">
        <f>IF(SUM(N37:R37)&gt;0,"T2",0)</f>
        <v>0</v>
      </c>
      <c r="O43" s="419" t="str">
        <f>IF(N43="T2","","T2")</f>
        <v>T2</v>
      </c>
      <c r="X43" s="524">
        <f t="shared" si="47"/>
        <v>0</v>
      </c>
      <c r="Z43" s="419">
        <v>2</v>
      </c>
      <c r="AO43" s="521"/>
      <c r="AP43" s="420"/>
      <c r="AQ43" s="420"/>
      <c r="AR43" s="420"/>
      <c r="AS43" s="420"/>
      <c r="AT43" s="522"/>
      <c r="AU43" s="522"/>
      <c r="AV43" s="522"/>
      <c r="AW43" s="522"/>
      <c r="AX43" s="522"/>
      <c r="AY43" s="522"/>
      <c r="AZ43" s="420"/>
      <c r="BA43" s="420"/>
      <c r="BB43" s="408"/>
    </row>
    <row r="44" spans="1:55" s="419" customFormat="1" hidden="1" x14ac:dyDescent="0.3">
      <c r="A44" s="526"/>
      <c r="C44" s="523" t="str">
        <f>IF(IFERROR(VLOOKUP(Y9,N19:R19,1,FALSE),"")=1,$D$11,"")</f>
        <v/>
      </c>
      <c r="E44" s="419" t="str">
        <f>IF(IFERROR(VLOOKUP(3,$G$11:$G$31,1,FALSE),"")=3,U36,"")</f>
        <v/>
      </c>
      <c r="G44" s="419">
        <f>COUNTIFS($G$11:$G$31,3)</f>
        <v>0</v>
      </c>
      <c r="N44" s="419">
        <f>IF(SUM(N38:R38)&gt;0,"T3",0)</f>
        <v>0</v>
      </c>
      <c r="O44" s="419" t="str">
        <f>IF(N44="T3","","T3")</f>
        <v>T3</v>
      </c>
      <c r="X44" s="524">
        <f t="shared" si="47"/>
        <v>0</v>
      </c>
      <c r="Z44" s="419">
        <v>3</v>
      </c>
      <c r="AO44" s="521"/>
      <c r="AP44" s="420"/>
      <c r="AQ44" s="420"/>
      <c r="AR44" s="420"/>
      <c r="AS44" s="420"/>
      <c r="AT44" s="522"/>
      <c r="AU44" s="522"/>
      <c r="AV44" s="522"/>
      <c r="AW44" s="522"/>
      <c r="AX44" s="522"/>
      <c r="AY44" s="522"/>
      <c r="AZ44" s="420"/>
      <c r="BA44" s="420"/>
      <c r="BB44" s="408"/>
    </row>
    <row r="45" spans="1:55" s="419" customFormat="1" hidden="1" x14ac:dyDescent="0.3">
      <c r="A45" s="526"/>
      <c r="C45" s="523" t="str">
        <f>IF(IFERROR(VLOOKUP(Y10,N20:R20,1,FALSE),"")=1,$D$11,"")</f>
        <v/>
      </c>
      <c r="E45" s="419" t="str">
        <f>IF(IFERROR(VLOOKUP(4,$G$11:$G$31,1,FALSE),"")=4,V36,"")</f>
        <v/>
      </c>
      <c r="G45" s="419">
        <f>COUNTIFS($G$11:$G$31,4)</f>
        <v>0</v>
      </c>
      <c r="N45" s="419">
        <f>IF(SUM(N39:R39)&gt;0,"T4",0)</f>
        <v>0</v>
      </c>
      <c r="O45" s="419" t="str">
        <f>IF(N45="T4","","T4")</f>
        <v>T4</v>
      </c>
      <c r="X45" s="524">
        <f t="shared" si="47"/>
        <v>0</v>
      </c>
      <c r="Z45" s="419">
        <v>4</v>
      </c>
      <c r="AO45" s="521"/>
      <c r="AP45" s="420"/>
      <c r="AQ45" s="420"/>
      <c r="AR45" s="420"/>
      <c r="AS45" s="420"/>
      <c r="AT45" s="522"/>
      <c r="AU45" s="522"/>
      <c r="AV45" s="522"/>
      <c r="AW45" s="522"/>
      <c r="AX45" s="522"/>
      <c r="AY45" s="522"/>
      <c r="AZ45" s="420"/>
      <c r="BA45" s="420"/>
      <c r="BB45" s="408"/>
    </row>
    <row r="46" spans="1:55" s="419" customFormat="1" hidden="1" x14ac:dyDescent="0.3">
      <c r="A46" s="526"/>
      <c r="C46" s="523" t="str">
        <f>IF(IFERROR(VLOOKUP(Y11,N21:R21,1,FALSE),"")=1,$D$11,"")</f>
        <v/>
      </c>
      <c r="E46" s="419" t="str">
        <f>IF(IFERROR(VLOOKUP(5,$G$11:$G$31,1,FALSE),"")=5,W36,"")</f>
        <v/>
      </c>
      <c r="G46" s="419">
        <f>COUNTIFS($G$11:$G$31,5)</f>
        <v>0</v>
      </c>
      <c r="N46" s="419">
        <f>IF(SUM(N40:R40)&gt;0,"T5",0)</f>
        <v>0</v>
      </c>
      <c r="O46" s="419" t="str">
        <f>IF(N46="T5","","T5")</f>
        <v>T5</v>
      </c>
      <c r="X46" s="524">
        <f t="shared" si="47"/>
        <v>0</v>
      </c>
      <c r="Z46" s="419">
        <v>5</v>
      </c>
      <c r="AO46" s="521"/>
      <c r="AP46" s="420"/>
      <c r="AQ46" s="420"/>
      <c r="AR46" s="420"/>
      <c r="AS46" s="420"/>
      <c r="AT46" s="522"/>
      <c r="AU46" s="522"/>
      <c r="AV46" s="522"/>
      <c r="AW46" s="522"/>
      <c r="AX46" s="522"/>
      <c r="AY46" s="522"/>
      <c r="AZ46" s="420"/>
      <c r="BA46" s="420"/>
      <c r="BB46" s="408"/>
    </row>
    <row r="47" spans="1:55" s="419" customFormat="1" hidden="1" x14ac:dyDescent="0.3">
      <c r="A47" s="526"/>
      <c r="AO47" s="521"/>
      <c r="AP47" s="420"/>
      <c r="AQ47" s="420"/>
      <c r="AR47" s="420"/>
      <c r="AS47" s="420"/>
      <c r="AT47" s="522"/>
      <c r="AU47" s="522"/>
      <c r="AV47" s="522"/>
      <c r="AW47" s="522"/>
      <c r="AX47" s="522"/>
      <c r="AY47" s="522"/>
      <c r="AZ47" s="420"/>
      <c r="BA47" s="420"/>
      <c r="BB47" s="408"/>
    </row>
    <row r="48" spans="1:55" s="419" customFormat="1" hidden="1" x14ac:dyDescent="0.3">
      <c r="A48" s="526"/>
      <c r="E48" s="419" t="str">
        <f>IF(IFERROR(VLOOKUP(1,$H$11:$H$31,1,FALSE),"")=1,S36,"")</f>
        <v/>
      </c>
      <c r="H48" s="419">
        <f>COUNTIFS($H$11:$H$31,1)</f>
        <v>0</v>
      </c>
      <c r="X48" s="524">
        <f t="shared" si="47"/>
        <v>0</v>
      </c>
      <c r="Z48" s="419">
        <v>1</v>
      </c>
      <c r="AO48" s="521"/>
      <c r="AP48" s="420"/>
      <c r="AQ48" s="420"/>
      <c r="AR48" s="420"/>
      <c r="AS48" s="420"/>
      <c r="AT48" s="522"/>
      <c r="AU48" s="522"/>
      <c r="AV48" s="522"/>
      <c r="AW48" s="522"/>
      <c r="AX48" s="522"/>
      <c r="AY48" s="522"/>
      <c r="AZ48" s="420"/>
      <c r="BA48" s="420"/>
      <c r="BB48" s="408"/>
    </row>
    <row r="49" spans="5:26" s="419" customFormat="1" hidden="1" x14ac:dyDescent="0.3">
      <c r="E49" s="419" t="str">
        <f>IF(IFERROR(VLOOKUP(2,$H$11:$H$31,1,FALSE),"")=2,T36,"")</f>
        <v/>
      </c>
      <c r="H49" s="419">
        <f>COUNTIFS($H$11:$H$31,2)</f>
        <v>0</v>
      </c>
      <c r="X49" s="524">
        <f t="shared" si="47"/>
        <v>0</v>
      </c>
      <c r="Z49" s="419">
        <v>2</v>
      </c>
    </row>
    <row r="50" spans="5:26" s="419" customFormat="1" hidden="1" x14ac:dyDescent="0.3">
      <c r="E50" s="419" t="str">
        <f>IF(IFERROR(VLOOKUP(3,$H$11:$H$31,1,FALSE),"")=3,U36,"")</f>
        <v/>
      </c>
      <c r="H50" s="419">
        <f>COUNTIFS($H$11:$H$31,3)</f>
        <v>0</v>
      </c>
      <c r="X50" s="524">
        <f t="shared" si="47"/>
        <v>0</v>
      </c>
      <c r="Z50" s="419">
        <v>3</v>
      </c>
    </row>
    <row r="51" spans="5:26" s="419" customFormat="1" hidden="1" x14ac:dyDescent="0.3">
      <c r="E51" s="419" t="str">
        <f>IF(IFERROR(VLOOKUP(4,$H$11:$H$31,1,FALSE),"")=4,V36,"")</f>
        <v/>
      </c>
      <c r="H51" s="419">
        <f>COUNTIFS($H$11:$H$31,4)</f>
        <v>0</v>
      </c>
      <c r="X51" s="524">
        <f t="shared" si="47"/>
        <v>0</v>
      </c>
      <c r="Z51" s="419">
        <v>4</v>
      </c>
    </row>
    <row r="52" spans="5:26" s="419" customFormat="1" hidden="1" x14ac:dyDescent="0.3">
      <c r="E52" s="419" t="str">
        <f>IF(IFERROR(VLOOKUP(5,$H$11:$H$31,1,FALSE),"")=5,W36,"")</f>
        <v/>
      </c>
      <c r="H52" s="419">
        <f>COUNTIFS($H$11:$H$31,5)</f>
        <v>0</v>
      </c>
      <c r="X52" s="524">
        <f t="shared" si="47"/>
        <v>0</v>
      </c>
      <c r="Z52" s="419">
        <v>5</v>
      </c>
    </row>
  </sheetData>
  <sheetProtection sheet="1" objects="1" scenarios="1" formatCells="0" formatColumns="0" formatRows="0" insertHyperlinks="0" selectLockedCells="1" sort="0" autoFilter="0"/>
  <autoFilter ref="B10:AM37" xr:uid="{00000000-0009-0000-0000-00000A000000}"/>
  <mergeCells count="35">
    <mergeCell ref="X14:Z14"/>
    <mergeCell ref="X15:Z15"/>
    <mergeCell ref="X31:Z31"/>
    <mergeCell ref="X25:Z25"/>
    <mergeCell ref="X26:Z26"/>
    <mergeCell ref="X27:Z27"/>
    <mergeCell ref="X29:Z29"/>
    <mergeCell ref="X30:Z30"/>
    <mergeCell ref="X28:Z28"/>
    <mergeCell ref="N9:R9"/>
    <mergeCell ref="AD4:AL6"/>
    <mergeCell ref="AQ9:AT9"/>
    <mergeCell ref="AU9:AX9"/>
    <mergeCell ref="Y5:Z5"/>
    <mergeCell ref="AK7:AL8"/>
    <mergeCell ref="AD7:AJ8"/>
    <mergeCell ref="X9:Z9"/>
    <mergeCell ref="AB5:AC5"/>
    <mergeCell ref="C6:AC6"/>
    <mergeCell ref="Y3:Z3"/>
    <mergeCell ref="Y4:Z4"/>
    <mergeCell ref="AB4:AC4"/>
    <mergeCell ref="AM4:AM6"/>
    <mergeCell ref="X24:Z24"/>
    <mergeCell ref="X23:Z23"/>
    <mergeCell ref="X17:Z17"/>
    <mergeCell ref="X18:Z18"/>
    <mergeCell ref="X19:Z19"/>
    <mergeCell ref="X21:Z21"/>
    <mergeCell ref="X22:Z22"/>
    <mergeCell ref="X12:Z12"/>
    <mergeCell ref="X16:Z16"/>
    <mergeCell ref="X20:Z20"/>
    <mergeCell ref="X11:Z11"/>
    <mergeCell ref="X13:Z13"/>
  </mergeCells>
  <conditionalFormatting sqref="D11:D31">
    <cfRule type="expression" dxfId="275" priority="113">
      <formula>AND(ISTEXT(B11),ISNONTEXT(D11),D11="")</formula>
    </cfRule>
  </conditionalFormatting>
  <conditionalFormatting sqref="AF15:AF31 AK11:AK31">
    <cfRule type="expression" dxfId="274" priority="112">
      <formula>AF11&lt;0</formula>
    </cfRule>
  </conditionalFormatting>
  <conditionalFormatting sqref="AL13:AL31">
    <cfRule type="expression" dxfId="273" priority="109">
      <formula>AL13&lt;0</formula>
    </cfRule>
  </conditionalFormatting>
  <conditionalFormatting sqref="AF11:AF34">
    <cfRule type="expression" dxfId="272" priority="73">
      <formula>AF11&lt;0</formula>
    </cfRule>
  </conditionalFormatting>
  <conditionalFormatting sqref="AL11:AL31">
    <cfRule type="expression" dxfId="271" priority="70">
      <formula>AL11&lt;0</formula>
    </cfRule>
  </conditionalFormatting>
  <conditionalFormatting sqref="D11:D31">
    <cfRule type="expression" dxfId="270" priority="53">
      <formula>AND(F11&lt;&gt;"",ISNONTEXT(D11))</formula>
    </cfRule>
    <cfRule type="expression" dxfId="269" priority="74">
      <formula>AND(ISTEXT(B11),ISNONTEXT(D11),D11="")</formula>
    </cfRule>
  </conditionalFormatting>
  <conditionalFormatting sqref="AM13:AM31 B16:E31 B15:C15 E15 D11:D15">
    <cfRule type="expression" dxfId="268" priority="75">
      <formula>MOD(ROW(A1),2)=0</formula>
    </cfRule>
    <cfRule type="expression" dxfId="267" priority="76">
      <formula>MOD(ROW(A2),2)=0</formula>
    </cfRule>
  </conditionalFormatting>
  <conditionalFormatting sqref="AF11:AF31">
    <cfRule type="expression" dxfId="266" priority="41">
      <formula>AF11&lt;0</formula>
    </cfRule>
  </conditionalFormatting>
  <conditionalFormatting sqref="AJ11:AJ34">
    <cfRule type="expression" dxfId="265" priority="40">
      <formula>AJ11&lt;0</formula>
    </cfRule>
  </conditionalFormatting>
  <conditionalFormatting sqref="AK12">
    <cfRule type="expression" dxfId="264" priority="39">
      <formula>AK12&lt;0</formula>
    </cfRule>
  </conditionalFormatting>
  <conditionalFormatting sqref="AL12">
    <cfRule type="expression" dxfId="263" priority="38">
      <formula>AL12&lt;0</formula>
    </cfRule>
  </conditionalFormatting>
  <conditionalFormatting sqref="AM11">
    <cfRule type="expression" dxfId="262" priority="35">
      <formula>MOD(ROW(AL1),2)=0</formula>
    </cfRule>
    <cfRule type="expression" dxfId="261" priority="36">
      <formula>MOD(ROW(AL2),2)=0</formula>
    </cfRule>
  </conditionalFormatting>
  <conditionalFormatting sqref="AM12">
    <cfRule type="expression" dxfId="260" priority="33">
      <formula>MOD(ROW(AL2),2)=0</formula>
    </cfRule>
    <cfRule type="expression" dxfId="259" priority="34">
      <formula>MOD(ROW(AL3),2)=0</formula>
    </cfRule>
  </conditionalFormatting>
  <conditionalFormatting sqref="B16:E31 B15:C15 E15 D11:D15">
    <cfRule type="expression" dxfId="258" priority="43">
      <formula>MOD(ROW(A1),2)=0</formula>
    </cfRule>
    <cfRule type="expression" dxfId="257" priority="44">
      <formula>MOD(ROW(A2),2)=0</formula>
    </cfRule>
  </conditionalFormatting>
  <conditionalFormatting sqref="N11:U31 G11:H31">
    <cfRule type="expression" dxfId="256" priority="47">
      <formula>MOD(ROW(A1),2)=0</formula>
    </cfRule>
    <cfRule type="expression" dxfId="255" priority="48">
      <formula>MOD(ROW(A2),2)=0</formula>
    </cfRule>
  </conditionalFormatting>
  <conditionalFormatting sqref="X11:AC31">
    <cfRule type="expression" dxfId="254" priority="17836">
      <formula>MOD(ROW(M1),2)=0</formula>
    </cfRule>
    <cfRule type="expression" dxfId="253" priority="17837">
      <formula>MOD(ROW(M2),2)=0</formula>
    </cfRule>
  </conditionalFormatting>
  <conditionalFormatting sqref="W11:W31">
    <cfRule type="expression" dxfId="252" priority="17854">
      <formula>MOD(ROW(O1),2)=0</formula>
    </cfRule>
    <cfRule type="expression" dxfId="251" priority="17855">
      <formula>MOD(ROW(O2),2)=0</formula>
    </cfRule>
  </conditionalFormatting>
  <conditionalFormatting sqref="V11:V31">
    <cfRule type="expression" dxfId="250" priority="17864">
      <formula>MOD(ROW(O1),2)=0</formula>
    </cfRule>
    <cfRule type="expression" dxfId="249" priority="17865">
      <formula>MOD(ROW(O2),2)=0</formula>
    </cfRule>
  </conditionalFormatting>
  <conditionalFormatting sqref="AM34">
    <cfRule type="expression" dxfId="248" priority="19">
      <formula>MOD(ROW(AL24),2)=0</formula>
    </cfRule>
    <cfRule type="expression" dxfId="247" priority="20">
      <formula>MOD(ROW(AL25),2)=0</formula>
    </cfRule>
  </conditionalFormatting>
  <conditionalFormatting sqref="AM32">
    <cfRule type="expression" dxfId="246" priority="17">
      <formula>MOD(ROW(AL22),2)=0</formula>
    </cfRule>
    <cfRule type="expression" dxfId="245" priority="18">
      <formula>MOD(ROW(AL23),2)=0</formula>
    </cfRule>
  </conditionalFormatting>
  <conditionalFormatting sqref="AM33">
    <cfRule type="expression" dxfId="244" priority="15">
      <formula>MOD(ROW(AL23),2)=0</formula>
    </cfRule>
    <cfRule type="expression" dxfId="243" priority="16">
      <formula>MOD(ROW(AL24),2)=0</formula>
    </cfRule>
  </conditionalFormatting>
  <conditionalFormatting sqref="AD11:AJ31">
    <cfRule type="expression" dxfId="242" priority="49">
      <formula>MOD(ROW(A1),2)=0</formula>
    </cfRule>
    <cfRule type="expression" dxfId="241" priority="50">
      <formula>MOD(ROW(A2),2)=0</formula>
    </cfRule>
  </conditionalFormatting>
  <conditionalFormatting sqref="AK11:AL31">
    <cfRule type="expression" dxfId="240" priority="45">
      <formula>MOD(ROW(A1),2)=0</formula>
    </cfRule>
    <cfRule type="expression" dxfId="239" priority="46">
      <formula>MOD(ROW(A2),2)=0</formula>
    </cfRule>
  </conditionalFormatting>
  <conditionalFormatting sqref="AL11:AL31">
    <cfRule type="expression" dxfId="238" priority="14">
      <formula>AL11&lt;0</formula>
    </cfRule>
  </conditionalFormatting>
  <conditionalFormatting sqref="AC11:AC31">
    <cfRule type="expression" dxfId="237" priority="19843">
      <formula>AND(AC11="",AD11&gt;0,$BM$3=TRUE)</formula>
    </cfRule>
  </conditionalFormatting>
  <conditionalFormatting sqref="B11:C11 B13:C14 E13:E14 E11">
    <cfRule type="expression" dxfId="236" priority="11">
      <formula>MOD(ROW(A1),2)=0</formula>
    </cfRule>
    <cfRule type="expression" dxfId="235" priority="12">
      <formula>MOD(ROW(A2),2)=0</formula>
    </cfRule>
  </conditionalFormatting>
  <conditionalFormatting sqref="B11:C14 E11:E14">
    <cfRule type="expression" dxfId="234" priority="5">
      <formula>MOD(ROW(A1),2)=0</formula>
    </cfRule>
    <cfRule type="expression" dxfId="233" priority="6">
      <formula>MOD(ROW(A2),2)=0</formula>
    </cfRule>
  </conditionalFormatting>
  <conditionalFormatting sqref="F11:F31">
    <cfRule type="expression" dxfId="232" priority="1">
      <formula>MOD(ROW(XFD1),2)=0</formula>
    </cfRule>
    <cfRule type="expression" dxfId="231" priority="2">
      <formula>MOD(ROW(XFD2),2)=0</formula>
    </cfRule>
  </conditionalFormatting>
  <dataValidations count="7">
    <dataValidation type="date" errorStyle="warning" operator="greaterThanOrEqual" allowBlank="1" showInputMessage="1" showErrorMessage="1" errorTitle="Falsches Datum - Fausse date!" sqref="Y5:Z5" xr:uid="{00000000-0002-0000-0A00-000000000000}">
      <formula1>TODAY()</formula1>
    </dataValidation>
    <dataValidation type="decimal" operator="greaterThanOrEqual" allowBlank="1" showInputMessage="1" showErrorMessage="1" errorTitle="Enter numbers!" sqref="AC11:AC31" xr:uid="{00000000-0002-0000-0A00-000015000000}">
      <formula1>0</formula1>
    </dataValidation>
    <dataValidation type="decimal" operator="greaterThanOrEqual" allowBlank="1" showInputMessage="1" showErrorMessage="1" errorTitle="Enter a number" sqref="AD11:AD31" xr:uid="{00000000-0002-0000-0A00-000016000000}">
      <formula1>0</formula1>
    </dataValidation>
    <dataValidation allowBlank="1" showInputMessage="1" showErrorMessage="1" errorTitle="Choose a value in the list" promptTitle="intern/extern" sqref="I11:M31 S9:W31" xr:uid="{00000000-0002-0000-0A00-000017000000}"/>
    <dataValidation type="list" allowBlank="1" showInputMessage="1" showErrorMessage="1" errorTitle="Please choose x or X" sqref="E11:E31" xr:uid="{00000000-0002-0000-0A00-000019000000}">
      <formula1>"x,X"</formula1>
    </dataValidation>
    <dataValidation type="list" allowBlank="1" showInputMessage="1" showErrorMessage="1" errorTitle="Choose a value in the list" promptTitle="intern/extern" sqref="N11:R31" xr:uid="{00000000-0002-0000-0A00-00001A000000}">
      <formula1>$O$42:$O$46</formula1>
    </dataValidation>
    <dataValidation type="list" allowBlank="1" showInputMessage="1" showErrorMessage="1" errorTitle="Choose a number from 1 to 5" sqref="F11:H31" xr:uid="{BCCB19D4-5C0B-429A-9BBB-441E289F4843}">
      <formula1>"1,2,3,4,5"</formula1>
    </dataValidation>
  </dataValidations>
  <hyperlinks>
    <hyperlink ref="X11" r:id="rId1" xr:uid="{00000000-0004-0000-0A00-000000000000}"/>
    <hyperlink ref="X12" r:id="rId2" xr:uid="{00000000-0004-0000-0A00-000001000000}"/>
  </hyperlinks>
  <pageMargins left="0.19685039370078741" right="0.19685039370078741" top="0.31496062992125984" bottom="0.43307086614173229" header="0" footer="0.19685039370078741"/>
  <pageSetup paperSize="9" scale="88" orientation="landscape" r:id="rId3"/>
  <headerFooter scaleWithDoc="0">
    <oddFooter>&amp;L&amp;8&amp;K01+049(c) s. imboden&amp;C&amp;8&amp;K01+049printed &amp;D&amp;R&amp;8&amp;K03+000&amp;P/&amp;N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74" r:id="rId6" name="Control 350">
              <controlPr defaultSize="0" print="0" uiObject="1" autoLine="0" autoPict="0">
                <anchor moveWithCells="1" sizeWithCells="1">
                  <from>
                    <xdr:col>4</xdr:col>
                    <xdr:colOff>0</xdr:colOff>
                    <xdr:row>11</xdr:row>
                    <xdr:rowOff>0</xdr:rowOff>
                  </from>
                  <to>
                    <xdr:col>5</xdr:col>
                    <xdr:colOff>160020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45" r:id="rId7" name="Check Box 721">
              <controlPr defaultSize="0" print="0" autoFill="0" autoLine="0" autoPict="0" altText="h">
                <anchor moveWithCells="1">
                  <from>
                    <xdr:col>28</xdr:col>
                    <xdr:colOff>541020</xdr:colOff>
                    <xdr:row>8</xdr:row>
                    <xdr:rowOff>190500</xdr:rowOff>
                  </from>
                  <to>
                    <xdr:col>28</xdr:col>
                    <xdr:colOff>762000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2" id="{65065997-C401-4950-9915-BEF6AC156F7C}">
            <xm:f>AND(Projektauftrag!$G$4="")</xm:f>
            <x14:dxf>
              <fill>
                <patternFill>
                  <bgColor rgb="FFFF0000"/>
                </patternFill>
              </fill>
            </x14:dxf>
          </x14:cfRule>
          <xm:sqref>Y3:Z3</xm:sqref>
        </x14:conditionalFormatting>
        <x14:conditionalFormatting xmlns:xm="http://schemas.microsoft.com/office/excel/2006/main">
          <x14:cfRule type="expression" priority="151" id="{69C2262E-A5E1-4348-84DB-023AE1047A17}">
            <xm:f>AND(Projektauftrag!$J$4="")</xm:f>
            <x14:dxf>
              <fill>
                <patternFill>
                  <bgColor rgb="FFFF0000"/>
                </patternFill>
              </fill>
            </x14:dxf>
          </x14:cfRule>
          <xm:sqref>AB3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uftrag">
    <tabColor theme="3" tint="0.59999389629810485"/>
    <pageSetUpPr fitToPage="1"/>
  </sheetPr>
  <dimension ref="A1:T57"/>
  <sheetViews>
    <sheetView showGridLines="0" zoomScaleNormal="100" zoomScaleSheetLayoutView="100" workbookViewId="0">
      <pane ySplit="1" topLeftCell="A2" activePane="bottomLeft" state="frozen"/>
      <selection activeCell="C28" sqref="C28"/>
      <selection pane="bottomLeft"/>
    </sheetView>
  </sheetViews>
  <sheetFormatPr baseColWidth="10" defaultColWidth="11.44140625" defaultRowHeight="14.4" x14ac:dyDescent="0.3"/>
  <cols>
    <col min="1" max="1" width="7" style="423" customWidth="1"/>
    <col min="2" max="2" width="14.109375" style="422" customWidth="1"/>
    <col min="3" max="3" width="4.88671875" style="422" customWidth="1"/>
    <col min="4" max="4" width="18.109375" style="422" customWidth="1"/>
    <col min="5" max="5" width="5.5546875" style="422" customWidth="1"/>
    <col min="6" max="6" width="8.88671875" style="422" customWidth="1"/>
    <col min="7" max="7" width="15.88671875" style="422" customWidth="1"/>
    <col min="8" max="8" width="15.5546875" style="422" bestFit="1" customWidth="1"/>
    <col min="9" max="9" width="2.5546875" style="422" customWidth="1"/>
    <col min="10" max="10" width="17.109375" style="422" bestFit="1" customWidth="1"/>
    <col min="11" max="11" width="2.109375" style="422" customWidth="1"/>
    <col min="12" max="12" width="9.88671875" style="422" bestFit="1" customWidth="1"/>
    <col min="13" max="13" width="3.5546875" style="422" customWidth="1"/>
    <col min="14" max="19" width="3" style="422" customWidth="1"/>
    <col min="20" max="20" width="7.109375" style="381" bestFit="1" customWidth="1"/>
    <col min="21" max="21" width="2" style="422" bestFit="1" customWidth="1"/>
    <col min="22" max="58" width="3" style="422" customWidth="1"/>
    <col min="59" max="16384" width="11.44140625" style="422"/>
  </cols>
  <sheetData>
    <row r="1" spans="1:11" s="1" customFormat="1" ht="42.75" customHeight="1" x14ac:dyDescent="0.6">
      <c r="A1" s="528"/>
      <c r="B1" s="389" t="str">
        <f ca="1">' '!A17</f>
        <v>Mandat de projet</v>
      </c>
      <c r="C1" s="353"/>
      <c r="D1" s="353"/>
      <c r="E1" s="353"/>
      <c r="F1" s="355"/>
      <c r="G1" s="353"/>
      <c r="H1" s="353"/>
      <c r="I1" s="529"/>
      <c r="J1" s="530"/>
    </row>
    <row r="2" spans="1:11" s="1" customFormat="1" ht="16.5" customHeight="1" x14ac:dyDescent="0.3">
      <c r="A2" s="3"/>
      <c r="C2" s="352"/>
      <c r="D2" s="352"/>
      <c r="E2" s="352"/>
      <c r="F2" s="531"/>
      <c r="G2" s="352"/>
      <c r="H2" s="532"/>
      <c r="I2" s="533"/>
      <c r="J2" s="534"/>
    </row>
    <row r="3" spans="1:11" s="62" customFormat="1" ht="11.25" customHeight="1" x14ac:dyDescent="0.3">
      <c r="A3" s="73"/>
      <c r="G3" s="535"/>
      <c r="J3" s="535"/>
    </row>
    <row r="4" spans="1:11" x14ac:dyDescent="0.3">
      <c r="B4" s="982" t="str">
        <f ca="1">' '!A57</f>
        <v>No. de projet :</v>
      </c>
      <c r="C4" s="982"/>
      <c r="D4" s="182" t="s">
        <v>208</v>
      </c>
      <c r="E4" s="983" t="str">
        <f ca="1">' '!A58</f>
        <v>Début:</v>
      </c>
      <c r="F4" s="983"/>
      <c r="G4" s="180">
        <f ca="1">TODAY()</f>
        <v>46049</v>
      </c>
      <c r="H4" s="983" t="str">
        <f ca="1">' '!A59</f>
        <v>Fin:</v>
      </c>
      <c r="I4" s="983"/>
      <c r="J4" s="180">
        <f ca="1">G4+(3*250)</f>
        <v>46799</v>
      </c>
    </row>
    <row r="5" spans="1:11" ht="30" customHeight="1" x14ac:dyDescent="0.3">
      <c r="B5" s="984" t="str">
        <f ca="1">' '!A60</f>
        <v>Nom du projet :</v>
      </c>
      <c r="C5" s="984"/>
      <c r="D5" s="183" t="s">
        <v>2276</v>
      </c>
      <c r="E5" s="985" t="str">
        <f ca="1">' '!A61</f>
        <v>Mandant:</v>
      </c>
      <c r="F5" s="985"/>
      <c r="G5" s="179" t="s">
        <v>1305</v>
      </c>
      <c r="H5" s="985" t="str">
        <f ca="1">' '!A62</f>
        <v>Chef de projet :</v>
      </c>
      <c r="I5" s="985"/>
      <c r="J5" s="183" t="s">
        <v>1206</v>
      </c>
    </row>
    <row r="6" spans="1:11" x14ac:dyDescent="0.3">
      <c r="B6" s="986" t="str">
        <f ca="1">' '!A63</f>
        <v>Section :</v>
      </c>
      <c r="C6" s="986"/>
      <c r="D6" s="179"/>
      <c r="E6" s="985" t="str">
        <f ca="1">' '!A64</f>
        <v>modifié le :</v>
      </c>
      <c r="F6" s="985"/>
      <c r="G6" s="181"/>
      <c r="H6" s="985" t="str">
        <f ca="1">' '!A65</f>
        <v>Remplaçant/e :</v>
      </c>
      <c r="I6" s="985"/>
      <c r="J6" s="178"/>
    </row>
    <row r="7" spans="1:11" ht="25.5" customHeight="1" x14ac:dyDescent="0.3">
      <c r="B7" s="987" t="str">
        <f ca="1">' '!A66</f>
        <v>Objectif stratégique</v>
      </c>
      <c r="C7" s="987"/>
      <c r="D7" s="988"/>
      <c r="E7" s="988"/>
      <c r="F7" s="988"/>
      <c r="G7" s="988"/>
      <c r="H7" s="988"/>
      <c r="I7" s="988"/>
      <c r="J7" s="988"/>
    </row>
    <row r="8" spans="1:11" ht="10.5" customHeight="1" x14ac:dyDescent="0.3">
      <c r="B8" s="431"/>
      <c r="C8" s="431"/>
      <c r="D8" s="432"/>
      <c r="E8" s="432"/>
      <c r="F8" s="432"/>
      <c r="G8" s="432"/>
      <c r="H8" s="432"/>
      <c r="I8" s="432"/>
      <c r="J8" s="432"/>
    </row>
    <row r="9" spans="1:11" s="540" customFormat="1" x14ac:dyDescent="0.3">
      <c r="A9" s="423"/>
      <c r="B9" s="536" t="str">
        <f ca="1">' '!A67</f>
        <v>Pourquoi ce projet est-il nécessaire? (Opportunités, problématique, conditions-cadres)</v>
      </c>
      <c r="C9" s="537"/>
      <c r="D9" s="537"/>
      <c r="E9" s="538"/>
      <c r="F9" s="538"/>
      <c r="G9" s="538"/>
      <c r="H9" s="538"/>
      <c r="I9" s="539">
        <f>Projektstand!E10</f>
        <v>1</v>
      </c>
      <c r="J9" s="538" t="str">
        <f ca="1">' '!A148</f>
        <v>Projet global</v>
      </c>
    </row>
    <row r="10" spans="1:11" s="540" customFormat="1" x14ac:dyDescent="0.3">
      <c r="A10" s="423"/>
      <c r="B10" s="991"/>
      <c r="C10" s="991"/>
      <c r="D10" s="991"/>
      <c r="E10" s="991"/>
      <c r="F10" s="991"/>
      <c r="G10" s="991"/>
      <c r="H10" s="991"/>
      <c r="I10" s="991"/>
      <c r="J10" s="991"/>
    </row>
    <row r="11" spans="1:11" s="540" customFormat="1" x14ac:dyDescent="0.3">
      <c r="A11" s="423"/>
      <c r="B11" s="991"/>
      <c r="C11" s="991"/>
      <c r="D11" s="991"/>
      <c r="E11" s="991"/>
      <c r="F11" s="991"/>
      <c r="G11" s="991"/>
      <c r="H11" s="991"/>
      <c r="I11" s="991"/>
      <c r="J11" s="991"/>
    </row>
    <row r="12" spans="1:11" s="540" customFormat="1" x14ac:dyDescent="0.3">
      <c r="A12" s="336"/>
      <c r="B12" s="991"/>
      <c r="C12" s="991"/>
      <c r="D12" s="991"/>
      <c r="E12" s="991"/>
      <c r="F12" s="991"/>
      <c r="G12" s="991"/>
      <c r="H12" s="991"/>
      <c r="I12" s="991"/>
      <c r="J12" s="991"/>
    </row>
    <row r="13" spans="1:11" s="540" customFormat="1" x14ac:dyDescent="0.3">
      <c r="A13" s="423"/>
      <c r="B13" s="991"/>
      <c r="C13" s="991"/>
      <c r="D13" s="991"/>
      <c r="E13" s="991"/>
      <c r="F13" s="991"/>
      <c r="G13" s="991"/>
      <c r="H13" s="991"/>
      <c r="I13" s="991"/>
      <c r="J13" s="991"/>
    </row>
    <row r="14" spans="1:11" s="540" customFormat="1" ht="19.5" customHeight="1" x14ac:dyDescent="0.3">
      <c r="A14" s="423"/>
      <c r="B14" s="991"/>
      <c r="C14" s="991"/>
      <c r="D14" s="991"/>
      <c r="E14" s="991"/>
      <c r="F14" s="991"/>
      <c r="G14" s="991"/>
      <c r="H14" s="991"/>
      <c r="I14" s="991"/>
      <c r="J14" s="991"/>
    </row>
    <row r="15" spans="1:11" s="540" customFormat="1" x14ac:dyDescent="0.3">
      <c r="A15" s="423"/>
      <c r="B15" s="990" t="str">
        <f ca="1">' '!A68</f>
        <v>Objectifs du projet (SMART = Spécifique, Mesurable, Acceptable, Réalisable, Temps)</v>
      </c>
      <c r="C15" s="990"/>
      <c r="D15" s="990"/>
      <c r="E15" s="990"/>
      <c r="F15" s="990"/>
      <c r="G15" s="990"/>
      <c r="H15" s="990"/>
      <c r="I15" s="539">
        <f>Projektstand!E12</f>
        <v>1</v>
      </c>
      <c r="J15" s="538" t="str">
        <f ca="1">' '!A69</f>
        <v>Indicateurs</v>
      </c>
    </row>
    <row r="16" spans="1:11" s="540" customFormat="1" x14ac:dyDescent="0.3">
      <c r="A16" s="541" t="s">
        <v>12</v>
      </c>
      <c r="B16" s="989" t="s">
        <v>1683</v>
      </c>
      <c r="C16" s="989"/>
      <c r="D16" s="989"/>
      <c r="E16" s="989"/>
      <c r="F16" s="989"/>
      <c r="G16" s="989"/>
      <c r="H16" s="989"/>
      <c r="I16" s="989"/>
      <c r="J16" s="994"/>
      <c r="K16" s="542" t="str">
        <f t="shared" ref="K16:K21" si="0">IF(B16&lt;&gt;"","&gt;","")</f>
        <v>&gt;</v>
      </c>
    </row>
    <row r="17" spans="1:11" s="540" customFormat="1" x14ac:dyDescent="0.3">
      <c r="A17" s="541" t="s">
        <v>13</v>
      </c>
      <c r="B17" s="989" t="s">
        <v>1688</v>
      </c>
      <c r="C17" s="989"/>
      <c r="D17" s="989"/>
      <c r="E17" s="989"/>
      <c r="F17" s="989"/>
      <c r="G17" s="989"/>
      <c r="H17" s="989"/>
      <c r="I17" s="989"/>
      <c r="J17" s="994" t="s">
        <v>1689</v>
      </c>
      <c r="K17" s="542" t="str">
        <f t="shared" si="0"/>
        <v>&gt;</v>
      </c>
    </row>
    <row r="18" spans="1:11" s="540" customFormat="1" x14ac:dyDescent="0.3">
      <c r="A18" s="541" t="s">
        <v>8</v>
      </c>
      <c r="B18" s="989"/>
      <c r="C18" s="989"/>
      <c r="D18" s="989"/>
      <c r="E18" s="989"/>
      <c r="F18" s="989"/>
      <c r="G18" s="989"/>
      <c r="H18" s="989"/>
      <c r="I18" s="989"/>
      <c r="J18" s="994"/>
      <c r="K18" s="542" t="str">
        <f t="shared" si="0"/>
        <v/>
      </c>
    </row>
    <row r="19" spans="1:11" s="540" customFormat="1" x14ac:dyDescent="0.3">
      <c r="A19" s="541" t="s">
        <v>9</v>
      </c>
      <c r="B19" s="989"/>
      <c r="C19" s="989"/>
      <c r="D19" s="989"/>
      <c r="E19" s="989"/>
      <c r="F19" s="989"/>
      <c r="G19" s="989"/>
      <c r="H19" s="989"/>
      <c r="I19" s="989"/>
      <c r="J19" s="994"/>
      <c r="K19" s="542" t="str">
        <f t="shared" si="0"/>
        <v/>
      </c>
    </row>
    <row r="20" spans="1:11" s="540" customFormat="1" x14ac:dyDescent="0.3">
      <c r="A20" s="541" t="s">
        <v>10</v>
      </c>
      <c r="B20" s="989"/>
      <c r="C20" s="989"/>
      <c r="D20" s="989"/>
      <c r="E20" s="989"/>
      <c r="F20" s="989"/>
      <c r="G20" s="989"/>
      <c r="H20" s="989"/>
      <c r="I20" s="989"/>
      <c r="J20" s="994"/>
      <c r="K20" s="542" t="str">
        <f t="shared" si="0"/>
        <v/>
      </c>
    </row>
    <row r="21" spans="1:11" s="540" customFormat="1" x14ac:dyDescent="0.3">
      <c r="A21" s="541" t="s">
        <v>11</v>
      </c>
      <c r="B21" s="989"/>
      <c r="C21" s="989"/>
      <c r="D21" s="989"/>
      <c r="E21" s="989"/>
      <c r="F21" s="989"/>
      <c r="G21" s="989"/>
      <c r="H21" s="989"/>
      <c r="I21" s="989"/>
      <c r="J21" s="994"/>
      <c r="K21" s="542" t="str">
        <f t="shared" si="0"/>
        <v/>
      </c>
    </row>
    <row r="22" spans="1:11" s="540" customFormat="1" x14ac:dyDescent="0.3">
      <c r="A22" s="541"/>
      <c r="B22" s="992" t="str">
        <f ca="1">' '!A70</f>
        <v>Livrables attendus</v>
      </c>
      <c r="C22" s="992"/>
      <c r="D22" s="993"/>
      <c r="E22" s="993"/>
      <c r="F22" s="993"/>
      <c r="G22" s="993"/>
      <c r="H22" s="993"/>
      <c r="I22" s="993"/>
      <c r="J22" s="993"/>
    </row>
    <row r="23" spans="1:11" s="540" customFormat="1" x14ac:dyDescent="0.3">
      <c r="A23" s="541" t="s">
        <v>12</v>
      </c>
      <c r="B23" s="989"/>
      <c r="C23" s="989"/>
      <c r="D23" s="989"/>
      <c r="E23" s="989"/>
      <c r="F23" s="989"/>
      <c r="G23" s="989"/>
      <c r="H23" s="989"/>
      <c r="I23" s="989"/>
      <c r="J23" s="989"/>
    </row>
    <row r="24" spans="1:11" s="540" customFormat="1" x14ac:dyDescent="0.3">
      <c r="A24" s="541" t="s">
        <v>13</v>
      </c>
      <c r="B24" s="989"/>
      <c r="C24" s="989"/>
      <c r="D24" s="989"/>
      <c r="E24" s="989"/>
      <c r="F24" s="989"/>
      <c r="G24" s="989"/>
      <c r="H24" s="989"/>
      <c r="I24" s="989"/>
      <c r="J24" s="989"/>
    </row>
    <row r="25" spans="1:11" s="540" customFormat="1" x14ac:dyDescent="0.3">
      <c r="A25" s="541" t="s">
        <v>8</v>
      </c>
      <c r="B25" s="989"/>
      <c r="C25" s="989"/>
      <c r="D25" s="989"/>
      <c r="E25" s="989"/>
      <c r="F25" s="989"/>
      <c r="G25" s="989"/>
      <c r="H25" s="989"/>
      <c r="I25" s="989"/>
      <c r="J25" s="989"/>
    </row>
    <row r="26" spans="1:11" s="540" customFormat="1" x14ac:dyDescent="0.3">
      <c r="A26" s="541" t="s">
        <v>9</v>
      </c>
      <c r="B26" s="989"/>
      <c r="C26" s="989"/>
      <c r="D26" s="989"/>
      <c r="E26" s="989"/>
      <c r="F26" s="989"/>
      <c r="G26" s="989"/>
      <c r="H26" s="989"/>
      <c r="I26" s="989"/>
      <c r="J26" s="989"/>
    </row>
    <row r="27" spans="1:11" s="540" customFormat="1" x14ac:dyDescent="0.3">
      <c r="A27" s="541" t="s">
        <v>10</v>
      </c>
      <c r="B27" s="989"/>
      <c r="C27" s="989"/>
      <c r="D27" s="989"/>
      <c r="E27" s="989"/>
      <c r="F27" s="989"/>
      <c r="G27" s="989"/>
      <c r="H27" s="989"/>
      <c r="I27" s="989"/>
      <c r="J27" s="989"/>
    </row>
    <row r="28" spans="1:11" s="540" customFormat="1" x14ac:dyDescent="0.3">
      <c r="A28" s="541"/>
      <c r="B28" s="990" t="str">
        <f ca="1">' '!A71</f>
        <v>Budget / Ressources / Personnes</v>
      </c>
      <c r="C28" s="990"/>
      <c r="D28" s="990"/>
      <c r="E28" s="543"/>
      <c r="F28" s="543"/>
      <c r="G28" s="543"/>
      <c r="H28" s="544"/>
      <c r="I28" s="539">
        <f>Projektstand!E11</f>
        <v>2</v>
      </c>
      <c r="J28" s="544"/>
    </row>
    <row r="29" spans="1:11" s="540" customFormat="1" ht="15" customHeight="1" x14ac:dyDescent="0.3">
      <c r="A29" s="541"/>
      <c r="B29" s="545"/>
      <c r="C29" s="545"/>
      <c r="D29" s="545"/>
      <c r="E29" s="545"/>
      <c r="F29" s="545"/>
      <c r="G29" s="546" t="str">
        <f ca="1">' '!A217</f>
        <v>Plan</v>
      </c>
      <c r="H29" s="546" t="str">
        <f ca="1">' '!A218</f>
        <v>Réel</v>
      </c>
      <c r="I29" s="547"/>
      <c r="J29" s="548" t="str">
        <f ca="1">' '!A219</f>
        <v>Solde</v>
      </c>
    </row>
    <row r="30" spans="1:11" s="540" customFormat="1" ht="21" customHeight="1" x14ac:dyDescent="0.3">
      <c r="A30" s="541"/>
      <c r="B30" s="549" t="str">
        <f ca="1">IF(Projektteam!$BM$3=TRUE,' '!A72&amp;" ["&amp;Logo!D13&amp;"]",' '!A72&amp;" [h]")</f>
        <v>Ressources internes [CHF]</v>
      </c>
      <c r="C30" s="550"/>
      <c r="D30" s="550"/>
      <c r="E30" s="550"/>
      <c r="F30" s="550"/>
      <c r="G30" s="551">
        <f>Projektbudget!AT24</f>
        <v>640</v>
      </c>
      <c r="H30" s="552">
        <f>Projektbudget!BJ24</f>
        <v>0</v>
      </c>
      <c r="I30" s="553">
        <f>IFERROR(IF(AND(G30&gt;0,(H30/G30*100)=100),90,
IF(G30&gt;0,(H30/G30*100),"")),0)</f>
        <v>0</v>
      </c>
      <c r="J30" s="554">
        <f>G30-H30</f>
        <v>640</v>
      </c>
      <c r="K30" s="555"/>
    </row>
    <row r="31" spans="1:11" s="540" customFormat="1" ht="6" customHeight="1" x14ac:dyDescent="0.3">
      <c r="A31" s="541"/>
      <c r="B31" s="545"/>
      <c r="C31" s="545"/>
      <c r="D31" s="545"/>
      <c r="E31" s="545"/>
      <c r="F31" s="545"/>
      <c r="G31" s="556"/>
      <c r="H31" s="557"/>
      <c r="I31" s="558"/>
      <c r="J31" s="559"/>
      <c r="K31" s="555"/>
    </row>
    <row r="32" spans="1:11" s="540" customFormat="1" ht="21" customHeight="1" x14ac:dyDescent="0.3">
      <c r="A32" s="541"/>
      <c r="B32" s="549" t="str">
        <f ca="1">' '!A78&amp;" ["&amp;Logo!D13&amp;"]"</f>
        <v>Ressources externes [CHF]</v>
      </c>
      <c r="C32" s="550"/>
      <c r="D32" s="550"/>
      <c r="E32" s="550"/>
      <c r="F32" s="550"/>
      <c r="G32" s="551">
        <f>Projektbudget!AT59</f>
        <v>0</v>
      </c>
      <c r="H32" s="552">
        <f>Projektbudget!BJ59</f>
        <v>0</v>
      </c>
      <c r="I32" s="553">
        <f>IFERROR(IF(AND(G32&gt;0,(H32/G32*100)=100),90,
IF(G32&gt;0,(H32/G32*100),"")),0)</f>
        <v>0</v>
      </c>
      <c r="J32" s="554">
        <f>G32-H32</f>
        <v>0</v>
      </c>
      <c r="K32" s="555"/>
    </row>
    <row r="33" spans="1:10" s="540" customFormat="1" ht="6" customHeight="1" x14ac:dyDescent="0.3">
      <c r="A33" s="541"/>
      <c r="B33" s="545"/>
      <c r="C33" s="545"/>
      <c r="D33" s="545"/>
      <c r="E33" s="545"/>
      <c r="F33" s="545"/>
      <c r="G33" s="556"/>
      <c r="H33" s="557"/>
      <c r="I33" s="558"/>
      <c r="J33" s="559"/>
    </row>
    <row r="34" spans="1:10" s="540" customFormat="1" ht="21" customHeight="1" x14ac:dyDescent="0.3">
      <c r="A34" s="541"/>
      <c r="B34" s="560" t="str">
        <f ca="1">' '!A83</f>
        <v>TOTAL RESSOURCES</v>
      </c>
      <c r="C34" s="561"/>
      <c r="D34" s="561"/>
      <c r="E34" s="561"/>
      <c r="F34" s="561"/>
      <c r="G34" s="562">
        <f>Projektbudget!AT61</f>
        <v>640</v>
      </c>
      <c r="H34" s="563">
        <f>Projektbudget!BJ61</f>
        <v>0</v>
      </c>
      <c r="I34" s="553">
        <f>IFERROR(IF(AND(G34&gt;0,(H34/G34*100)=100),90,
IF(G34&gt;0,(H34/G34*100),"")),0)</f>
        <v>0</v>
      </c>
      <c r="J34" s="564">
        <f>Projektbudget!BZ61</f>
        <v>640</v>
      </c>
    </row>
    <row r="35" spans="1:10" s="540" customFormat="1" ht="6" customHeight="1" x14ac:dyDescent="0.3">
      <c r="A35" s="541"/>
      <c r="B35" s="545"/>
      <c r="C35" s="545"/>
      <c r="D35" s="545"/>
      <c r="E35" s="545"/>
      <c r="F35" s="545"/>
      <c r="G35" s="556"/>
      <c r="H35" s="557"/>
      <c r="I35" s="558"/>
      <c r="J35" s="559"/>
    </row>
    <row r="36" spans="1:10" s="540" customFormat="1" ht="21" customHeight="1" x14ac:dyDescent="0.3">
      <c r="A36" s="541"/>
      <c r="B36" s="549" t="str">
        <f ca="1">' '!A210&amp;" ["&amp;Logo!D13&amp;"]"</f>
        <v>Financement externe (p.ex. clients, subventions etc.) [CHF]</v>
      </c>
      <c r="C36" s="550"/>
      <c r="D36" s="550"/>
      <c r="E36" s="550"/>
      <c r="F36" s="550"/>
      <c r="G36" s="551">
        <f>Projektbudget!AT77</f>
        <v>0</v>
      </c>
      <c r="H36" s="552">
        <f>Projektbudget!BJ77</f>
        <v>0</v>
      </c>
      <c r="I36" s="553"/>
      <c r="J36" s="554">
        <f>Projektbudget!BZ77</f>
        <v>0</v>
      </c>
    </row>
    <row r="37" spans="1:10" s="540" customFormat="1" ht="6" customHeight="1" x14ac:dyDescent="0.3">
      <c r="A37" s="541"/>
      <c r="B37" s="545"/>
      <c r="C37" s="545"/>
      <c r="D37" s="545"/>
      <c r="E37" s="545"/>
      <c r="F37" s="545"/>
      <c r="G37" s="565"/>
      <c r="H37" s="565"/>
      <c r="I37" s="558"/>
      <c r="J37" s="565"/>
    </row>
    <row r="38" spans="1:10" s="540" customFormat="1" x14ac:dyDescent="0.3">
      <c r="A38" s="541"/>
      <c r="B38" s="990" t="str">
        <f ca="1">' '!A84</f>
        <v>Délais / Jalon (Go/NoGo)</v>
      </c>
      <c r="C38" s="990"/>
      <c r="D38" s="990"/>
      <c r="E38" s="543"/>
      <c r="F38" s="543"/>
      <c r="G38" s="543"/>
      <c r="H38" s="544"/>
      <c r="I38" s="539">
        <f>Projektstand!E13</f>
        <v>1</v>
      </c>
      <c r="J38" s="544"/>
    </row>
    <row r="39" spans="1:10" s="540" customFormat="1" x14ac:dyDescent="0.3">
      <c r="A39" s="541"/>
      <c r="B39" s="566" t="str">
        <f ca="1">' '!A85</f>
        <v>Quand?</v>
      </c>
      <c r="C39" s="566" t="str">
        <f ca="1">' '!A86</f>
        <v>Quoi?</v>
      </c>
      <c r="D39" s="474"/>
      <c r="E39" s="474"/>
      <c r="F39" s="474"/>
      <c r="G39" s="566"/>
      <c r="H39" s="566" t="str">
        <f ca="1">' '!A87</f>
        <v>Qui?</v>
      </c>
      <c r="I39" s="474"/>
      <c r="J39" s="566" t="str">
        <f ca="1">' '!A88</f>
        <v>Approuvé?</v>
      </c>
    </row>
    <row r="40" spans="1:10" s="540" customFormat="1" x14ac:dyDescent="0.3">
      <c r="A40" s="541" t="s">
        <v>12</v>
      </c>
      <c r="B40" s="119">
        <f ca="1">G4+20</f>
        <v>46069</v>
      </c>
      <c r="C40" s="1003"/>
      <c r="D40" s="1004"/>
      <c r="E40" s="1004"/>
      <c r="F40" s="1004"/>
      <c r="G40" s="1005"/>
      <c r="H40" s="185" t="str">
        <f t="shared" ref="H40:H47" ca="1" si="1">IF(B40&lt;&gt;"",$J$5,"")</f>
        <v>abc def (abc)</v>
      </c>
      <c r="I40" s="567">
        <f ca="1">IF(B40&lt;&gt;"",B40,"")</f>
        <v>46069</v>
      </c>
      <c r="J40" s="184" t="str">
        <f ca="1">IF(AND(B40&lt;&gt;"",$G$5&lt;&gt;""),$G$5,"")</f>
        <v>xyz xxx</v>
      </c>
    </row>
    <row r="41" spans="1:10" s="540" customFormat="1" x14ac:dyDescent="0.3">
      <c r="A41" s="541" t="s">
        <v>13</v>
      </c>
      <c r="B41" s="119"/>
      <c r="C41" s="1003"/>
      <c r="D41" s="1004"/>
      <c r="E41" s="1004"/>
      <c r="F41" s="1004"/>
      <c r="G41" s="1005"/>
      <c r="H41" s="185" t="str">
        <f t="shared" si="1"/>
        <v/>
      </c>
      <c r="I41" s="567" t="str">
        <f t="shared" ref="I41:I47" si="2">IF(B41&lt;&gt;"",B41,"")</f>
        <v/>
      </c>
      <c r="J41" s="184" t="str">
        <f t="shared" ref="J41:J47" si="3">IF(AND(B41&lt;&gt;"",$G$5&lt;&gt;""),$G$5,"")</f>
        <v/>
      </c>
    </row>
    <row r="42" spans="1:10" s="540" customFormat="1" x14ac:dyDescent="0.3">
      <c r="A42" s="541" t="s">
        <v>8</v>
      </c>
      <c r="B42" s="119"/>
      <c r="C42" s="1003"/>
      <c r="D42" s="1004"/>
      <c r="E42" s="1004"/>
      <c r="F42" s="1004"/>
      <c r="G42" s="1005"/>
      <c r="H42" s="185" t="str">
        <f t="shared" si="1"/>
        <v/>
      </c>
      <c r="I42" s="567" t="str">
        <f t="shared" si="2"/>
        <v/>
      </c>
      <c r="J42" s="184" t="str">
        <f t="shared" si="3"/>
        <v/>
      </c>
    </row>
    <row r="43" spans="1:10" s="540" customFormat="1" x14ac:dyDescent="0.3">
      <c r="A43" s="541" t="s">
        <v>9</v>
      </c>
      <c r="B43" s="119"/>
      <c r="C43" s="1003"/>
      <c r="D43" s="1004"/>
      <c r="E43" s="1004"/>
      <c r="F43" s="1004"/>
      <c r="G43" s="1005"/>
      <c r="H43" s="185" t="str">
        <f t="shared" si="1"/>
        <v/>
      </c>
      <c r="I43" s="567" t="str">
        <f t="shared" si="2"/>
        <v/>
      </c>
      <c r="J43" s="184" t="str">
        <f t="shared" si="3"/>
        <v/>
      </c>
    </row>
    <row r="44" spans="1:10" s="540" customFormat="1" x14ac:dyDescent="0.3">
      <c r="A44" s="541" t="s">
        <v>10</v>
      </c>
      <c r="B44" s="119"/>
      <c r="C44" s="1003"/>
      <c r="D44" s="1004"/>
      <c r="E44" s="1004"/>
      <c r="F44" s="1004"/>
      <c r="G44" s="1005"/>
      <c r="H44" s="185" t="str">
        <f t="shared" si="1"/>
        <v/>
      </c>
      <c r="I44" s="567" t="str">
        <f t="shared" si="2"/>
        <v/>
      </c>
      <c r="J44" s="184" t="str">
        <f t="shared" si="3"/>
        <v/>
      </c>
    </row>
    <row r="45" spans="1:10" s="540" customFormat="1" x14ac:dyDescent="0.3">
      <c r="A45" s="541" t="s">
        <v>11</v>
      </c>
      <c r="B45" s="119"/>
      <c r="C45" s="1003"/>
      <c r="D45" s="1004"/>
      <c r="E45" s="1004"/>
      <c r="F45" s="1004"/>
      <c r="G45" s="1005"/>
      <c r="H45" s="185" t="str">
        <f t="shared" si="1"/>
        <v/>
      </c>
      <c r="I45" s="567" t="str">
        <f t="shared" si="2"/>
        <v/>
      </c>
      <c r="J45" s="184" t="str">
        <f t="shared" si="3"/>
        <v/>
      </c>
    </row>
    <row r="46" spans="1:10" s="540" customFormat="1" x14ac:dyDescent="0.3">
      <c r="A46" s="541" t="s">
        <v>202</v>
      </c>
      <c r="B46" s="119"/>
      <c r="C46" s="1003"/>
      <c r="D46" s="1004"/>
      <c r="E46" s="1004"/>
      <c r="F46" s="1004"/>
      <c r="G46" s="1005"/>
      <c r="H46" s="185" t="str">
        <f t="shared" si="1"/>
        <v/>
      </c>
      <c r="I46" s="567" t="str">
        <f t="shared" si="2"/>
        <v/>
      </c>
      <c r="J46" s="184" t="str">
        <f t="shared" si="3"/>
        <v/>
      </c>
    </row>
    <row r="47" spans="1:10" s="540" customFormat="1" x14ac:dyDescent="0.3">
      <c r="A47" s="541" t="s">
        <v>203</v>
      </c>
      <c r="B47" s="119"/>
      <c r="C47" s="1003"/>
      <c r="D47" s="1004"/>
      <c r="E47" s="1004"/>
      <c r="F47" s="1004"/>
      <c r="G47" s="1005"/>
      <c r="H47" s="185" t="str">
        <f t="shared" si="1"/>
        <v/>
      </c>
      <c r="I47" s="567" t="str">
        <f t="shared" si="2"/>
        <v/>
      </c>
      <c r="J47" s="184" t="str">
        <f t="shared" si="3"/>
        <v/>
      </c>
    </row>
    <row r="48" spans="1:10" s="540" customFormat="1" x14ac:dyDescent="0.3">
      <c r="A48" s="541"/>
      <c r="B48" s="992" t="str">
        <f ca="1">' '!A89</f>
        <v>Commentaires/pièces jointes</v>
      </c>
      <c r="C48" s="992"/>
      <c r="D48" s="993"/>
      <c r="E48" s="993"/>
      <c r="F48" s="993"/>
      <c r="G48" s="993"/>
      <c r="H48" s="993"/>
      <c r="I48" s="993"/>
      <c r="J48" s="993"/>
    </row>
    <row r="49" spans="1:10" s="540" customFormat="1" x14ac:dyDescent="0.3">
      <c r="A49" s="541" t="s">
        <v>12</v>
      </c>
      <c r="B49" s="1001"/>
      <c r="C49" s="1001"/>
      <c r="D49" s="1001"/>
      <c r="E49" s="1001"/>
      <c r="F49" s="1001"/>
      <c r="G49" s="1001"/>
      <c r="H49" s="1001"/>
      <c r="I49" s="1001"/>
      <c r="J49" s="1001"/>
    </row>
    <row r="50" spans="1:10" s="540" customFormat="1" x14ac:dyDescent="0.3">
      <c r="A50" s="541" t="s">
        <v>13</v>
      </c>
      <c r="B50" s="1002"/>
      <c r="C50" s="1002"/>
      <c r="D50" s="1002"/>
      <c r="E50" s="1002"/>
      <c r="F50" s="1002"/>
      <c r="G50" s="1002"/>
      <c r="H50" s="1002"/>
      <c r="I50" s="1002"/>
      <c r="J50" s="1002"/>
    </row>
    <row r="51" spans="1:10" s="540" customFormat="1" x14ac:dyDescent="0.3">
      <c r="A51" s="541" t="s">
        <v>8</v>
      </c>
      <c r="B51" s="1002"/>
      <c r="C51" s="1002"/>
      <c r="D51" s="1002"/>
      <c r="E51" s="1002"/>
      <c r="F51" s="1002"/>
      <c r="G51" s="1002"/>
      <c r="H51" s="1002"/>
      <c r="I51" s="1002"/>
      <c r="J51" s="1002"/>
    </row>
    <row r="52" spans="1:10" s="540" customFormat="1" x14ac:dyDescent="0.3">
      <c r="A52" s="541" t="s">
        <v>9</v>
      </c>
      <c r="B52" s="1002"/>
      <c r="C52" s="1002"/>
      <c r="D52" s="1002"/>
      <c r="E52" s="1002"/>
      <c r="F52" s="1002"/>
      <c r="G52" s="1002"/>
      <c r="H52" s="1002"/>
      <c r="I52" s="1002"/>
      <c r="J52" s="1002"/>
    </row>
    <row r="53" spans="1:10" s="540" customFormat="1" x14ac:dyDescent="0.3">
      <c r="A53" s="115" t="s">
        <v>10</v>
      </c>
      <c r="B53" s="1002"/>
      <c r="C53" s="1002"/>
      <c r="D53" s="1002"/>
      <c r="E53" s="1002"/>
      <c r="F53" s="1002"/>
      <c r="G53" s="1002"/>
      <c r="H53" s="1002"/>
      <c r="I53" s="1002"/>
      <c r="J53" s="1002"/>
    </row>
    <row r="54" spans="1:10" s="540" customFormat="1" x14ac:dyDescent="0.3">
      <c r="A54" s="423"/>
      <c r="B54" s="995" t="str">
        <f ca="1">' '!A96</f>
        <v>Date</v>
      </c>
      <c r="C54" s="995"/>
      <c r="D54" s="995"/>
      <c r="E54" s="996">
        <f ca="1">G4</f>
        <v>46049</v>
      </c>
      <c r="F54" s="996"/>
      <c r="G54" s="997"/>
      <c r="H54" s="997"/>
      <c r="I54" s="997"/>
      <c r="J54" s="997"/>
    </row>
    <row r="55" spans="1:10" s="540" customFormat="1" ht="21.75" customHeight="1" x14ac:dyDescent="0.3">
      <c r="A55" s="423"/>
      <c r="B55" s="998" t="str">
        <f ca="1">' '!A97</f>
        <v>Signature mandant</v>
      </c>
      <c r="C55" s="998"/>
      <c r="D55" s="998"/>
      <c r="E55" s="999"/>
      <c r="F55" s="999"/>
      <c r="G55" s="999"/>
      <c r="H55" s="999"/>
      <c r="I55" s="999"/>
      <c r="J55" s="999"/>
    </row>
    <row r="56" spans="1:10" s="540" customFormat="1" ht="29.25" customHeight="1" x14ac:dyDescent="0.3">
      <c r="A56" s="423"/>
      <c r="B56" s="998" t="str">
        <f ca="1">' '!A98</f>
        <v>Signature chef de projet</v>
      </c>
      <c r="C56" s="998"/>
      <c r="D56" s="998"/>
      <c r="E56" s="1000"/>
      <c r="F56" s="1000"/>
      <c r="G56" s="1000"/>
      <c r="H56" s="1000"/>
      <c r="I56" s="1000"/>
      <c r="J56" s="1000"/>
    </row>
    <row r="57" spans="1:10" s="540" customFormat="1" x14ac:dyDescent="0.3">
      <c r="A57" s="423"/>
      <c r="B57" s="520" t="s">
        <v>1705</v>
      </c>
      <c r="C57" s="73"/>
    </row>
  </sheetData>
  <sheetProtection sheet="1" objects="1" scenarios="1" formatCells="0" formatColumns="0" formatRows="0" insertHyperlinks="0" selectLockedCells="1" sort="0" autoFilter="0"/>
  <mergeCells count="47">
    <mergeCell ref="C40:G40"/>
    <mergeCell ref="B38:D38"/>
    <mergeCell ref="B48:J48"/>
    <mergeCell ref="C46:G46"/>
    <mergeCell ref="C47:G47"/>
    <mergeCell ref="C41:G41"/>
    <mergeCell ref="C42:G42"/>
    <mergeCell ref="C43:G43"/>
    <mergeCell ref="C44:G44"/>
    <mergeCell ref="C45:G45"/>
    <mergeCell ref="B49:J49"/>
    <mergeCell ref="B50:J50"/>
    <mergeCell ref="B51:J51"/>
    <mergeCell ref="B52:J52"/>
    <mergeCell ref="B53:J53"/>
    <mergeCell ref="B54:D54"/>
    <mergeCell ref="E54:J54"/>
    <mergeCell ref="B55:D55"/>
    <mergeCell ref="E55:J55"/>
    <mergeCell ref="B56:D56"/>
    <mergeCell ref="E56:J56"/>
    <mergeCell ref="B24:J24"/>
    <mergeCell ref="B26:J26"/>
    <mergeCell ref="B25:J25"/>
    <mergeCell ref="B28:D28"/>
    <mergeCell ref="B10:J14"/>
    <mergeCell ref="B22:J22"/>
    <mergeCell ref="B23:J23"/>
    <mergeCell ref="B15:H15"/>
    <mergeCell ref="B27:J27"/>
    <mergeCell ref="B21:J21"/>
    <mergeCell ref="B16:J16"/>
    <mergeCell ref="B17:J17"/>
    <mergeCell ref="B18:J18"/>
    <mergeCell ref="B19:J19"/>
    <mergeCell ref="B20:J20"/>
    <mergeCell ref="B6:C6"/>
    <mergeCell ref="E6:F6"/>
    <mergeCell ref="H6:I6"/>
    <mergeCell ref="B7:C7"/>
    <mergeCell ref="D7:J7"/>
    <mergeCell ref="B4:C4"/>
    <mergeCell ref="E4:F4"/>
    <mergeCell ref="H4:I4"/>
    <mergeCell ref="B5:C5"/>
    <mergeCell ref="E5:F5"/>
    <mergeCell ref="H5:I5"/>
  </mergeCells>
  <conditionalFormatting sqref="J4">
    <cfRule type="expression" dxfId="228" priority="78">
      <formula>AND($J$4&lt;=$G$4)</formula>
    </cfRule>
  </conditionalFormatting>
  <conditionalFormatting sqref="J30 J32 J34">
    <cfRule type="cellIs" dxfId="227" priority="38" operator="lessThan">
      <formula>0</formula>
    </cfRule>
  </conditionalFormatting>
  <conditionalFormatting sqref="B40:J47">
    <cfRule type="expression" dxfId="226" priority="37">
      <formula>MOD(ROW(A2),2)=0</formula>
    </cfRule>
  </conditionalFormatting>
  <conditionalFormatting sqref="J36">
    <cfRule type="cellIs" dxfId="225" priority="35" operator="lessThan">
      <formula>0</formula>
    </cfRule>
  </conditionalFormatting>
  <conditionalFormatting sqref="G4">
    <cfRule type="expression" dxfId="224" priority="33">
      <formula>AND($G$4="")</formula>
    </cfRule>
  </conditionalFormatting>
  <conditionalFormatting sqref="I15">
    <cfRule type="colorScale" priority="29">
      <colorScale>
        <cfvo type="num" val="1"/>
        <cfvo type="num" val="2"/>
        <cfvo type="num" val="3"/>
        <color theme="6" tint="0.39997558519241921"/>
        <color rgb="FFFFEB84"/>
        <color theme="5" tint="0.39997558519241921"/>
      </colorScale>
    </cfRule>
    <cfRule type="iconSet" priority="30">
      <iconSet iconSet="3Symbols2" showValue="0" reverse="1">
        <cfvo type="percent" val="0"/>
        <cfvo type="num" val="1.25"/>
        <cfvo type="num" val="2.25"/>
      </iconSet>
    </cfRule>
  </conditionalFormatting>
  <conditionalFormatting sqref="I9">
    <cfRule type="colorScale" priority="25">
      <colorScale>
        <cfvo type="num" val="1"/>
        <cfvo type="num" val="2"/>
        <cfvo type="num" val="3"/>
        <color theme="6" tint="0.39997558519241921"/>
        <color rgb="FFFFEB84"/>
        <color theme="5" tint="0.39997558519241921"/>
      </colorScale>
    </cfRule>
    <cfRule type="iconSet" priority="26">
      <iconSet iconSet="3Symbols2" showValue="0" reverse="1">
        <cfvo type="percent" val="0"/>
        <cfvo type="num" val="1.25"/>
        <cfvo type="num" val="2.25"/>
      </iconSet>
    </cfRule>
  </conditionalFormatting>
  <conditionalFormatting sqref="I28">
    <cfRule type="colorScale" priority="23">
      <colorScale>
        <cfvo type="num" val="1"/>
        <cfvo type="num" val="2"/>
        <cfvo type="num" val="3"/>
        <color theme="6" tint="0.39997558519241921"/>
        <color rgb="FFFFEB84"/>
        <color theme="5" tint="0.39997558519241921"/>
      </colorScale>
    </cfRule>
    <cfRule type="iconSet" priority="24">
      <iconSet iconSet="3Symbols2" showValue="0" reverse="1">
        <cfvo type="percent" val="0"/>
        <cfvo type="num" val="1.25"/>
        <cfvo type="num" val="2.25"/>
      </iconSet>
    </cfRule>
  </conditionalFormatting>
  <conditionalFormatting sqref="I38">
    <cfRule type="colorScale" priority="21">
      <colorScale>
        <cfvo type="num" val="1"/>
        <cfvo type="num" val="2"/>
        <cfvo type="num" val="3"/>
        <color theme="6" tint="0.39997558519241921"/>
        <color rgb="FFFFEB84"/>
        <color theme="5" tint="0.39997558519241921"/>
      </colorScale>
    </cfRule>
    <cfRule type="iconSet" priority="22">
      <iconSet iconSet="3Symbols2" showValue="0" reverse="1">
        <cfvo type="percent" val="0"/>
        <cfvo type="num" val="1.25"/>
        <cfvo type="num" val="2.25"/>
      </iconSet>
    </cfRule>
  </conditionalFormatting>
  <conditionalFormatting sqref="K16">
    <cfRule type="expression" dxfId="223" priority="11">
      <formula>$A16=1</formula>
    </cfRule>
    <cfRule type="expression" dxfId="222" priority="12">
      <formula>$A16=2</formula>
    </cfRule>
    <cfRule type="expression" dxfId="221" priority="13">
      <formula>$A16=3</formula>
    </cfRule>
    <cfRule type="expression" dxfId="220" priority="14">
      <formula>$A16=4</formula>
    </cfRule>
    <cfRule type="expression" dxfId="219" priority="15">
      <formula>$A16=5</formula>
    </cfRule>
    <cfRule type="expression" dxfId="218" priority="16">
      <formula>$A16=6</formula>
    </cfRule>
    <cfRule type="expression" dxfId="217" priority="17">
      <formula>$A16=7</formula>
    </cfRule>
    <cfRule type="expression" dxfId="216" priority="18">
      <formula>$A16=8</formula>
    </cfRule>
    <cfRule type="expression" dxfId="215" priority="19">
      <formula>$A16=9</formula>
    </cfRule>
    <cfRule type="expression" dxfId="214" priority="20">
      <formula>$A16=10</formula>
    </cfRule>
  </conditionalFormatting>
  <conditionalFormatting sqref="K17:K21">
    <cfRule type="expression" dxfId="213" priority="1">
      <formula>$A17=1</formula>
    </cfRule>
    <cfRule type="expression" dxfId="212" priority="2">
      <formula>$A17=2</formula>
    </cfRule>
    <cfRule type="expression" dxfId="211" priority="3">
      <formula>$A17=3</formula>
    </cfRule>
    <cfRule type="expression" dxfId="210" priority="4">
      <formula>$A17=4</formula>
    </cfRule>
    <cfRule type="expression" dxfId="209" priority="5">
      <formula>$A17=5</formula>
    </cfRule>
    <cfRule type="expression" dxfId="208" priority="6">
      <formula>$A17=6</formula>
    </cfRule>
    <cfRule type="expression" dxfId="207" priority="7">
      <formula>$A17=7</formula>
    </cfRule>
    <cfRule type="expression" dxfId="206" priority="8">
      <formula>$A17=8</formula>
    </cfRule>
    <cfRule type="expression" dxfId="205" priority="9">
      <formula>$A17=9</formula>
    </cfRule>
    <cfRule type="expression" dxfId="204" priority="10">
      <formula>$A17=10</formula>
    </cfRule>
  </conditionalFormatting>
  <dataValidations count="5">
    <dataValidation type="date" operator="greaterThan" allowBlank="1" showInputMessage="1" showErrorMessage="1" errorTitle="Falsches Datum! Fausse date!" sqref="G4" xr:uid="{00000000-0002-0000-0100-000000000000}">
      <formula1>40858</formula1>
    </dataValidation>
    <dataValidation type="date" operator="greaterThanOrEqual" allowBlank="1" showInputMessage="1" showErrorMessage="1" errorTitle="Date must be later then begin" sqref="J4" xr:uid="{00000000-0002-0000-0100-000001000000}">
      <formula1>G4</formula1>
    </dataValidation>
    <dataValidation type="date" operator="greaterThanOrEqual" allowBlank="1" showInputMessage="1" showErrorMessage="1" errorTitle="Falsches Datum! Fausse date!" error="Datum muss grösser als Projektbeginn sein!_x000a_La date doit être plus grande que la date du début du projet!" sqref="B40:B47" xr:uid="{00000000-0002-0000-0100-000002000000}">
      <formula1>$G$46</formula1>
    </dataValidation>
    <dataValidation type="date" errorStyle="warning" operator="greaterThanOrEqual" allowBlank="1" showInputMessage="1" showErrorMessage="1" errorTitle="Falsches Datum - Fausse date" sqref="G6" xr:uid="{00000000-0002-0000-0100-000003000000}">
      <formula1>TODAY()</formula1>
    </dataValidation>
    <dataValidation allowBlank="1" showInputMessage="1" showErrorMessage="1" errorTitle="Name is not in the list!" error="Um einen Namen in der Liste hinzuzufügen vervollstgändigen Sie die Liste mit dem Projektteam._x000a__x000a_Pour ajouter un nom dans la liste, veuillez ajouter cette personne dans la liste de l'équipe de projet." sqref="G5" xr:uid="{00000000-0002-0000-0100-000004000000}"/>
  </dataValidations>
  <hyperlinks>
    <hyperlink ref="K16" location="Indicators!C8" tooltip="Indicator" display="Indicators!C8" xr:uid="{00000000-0004-0000-0100-000000000000}"/>
    <hyperlink ref="K18" location="Indicators!C30" tooltip="Indicator" display="Indicators!C30" xr:uid="{00000000-0004-0000-0100-000001000000}"/>
    <hyperlink ref="K19" location="Indicators!C41" tooltip="Indicator" display="Indicators!C41" xr:uid="{00000000-0004-0000-0100-000002000000}"/>
    <hyperlink ref="K20" location="Indicators!C52" tooltip="Indicator" display="Indicators!C52" xr:uid="{00000000-0004-0000-0100-000003000000}"/>
    <hyperlink ref="K21" location="Projektauftrag!C63" tooltip="Indicator" display="Projektauftrag!C63" xr:uid="{00000000-0004-0000-0100-000004000000}"/>
    <hyperlink ref="K17" location="Indicators!C19" tooltip="Indicator" display="Indicators!C19" xr:uid="{00000000-0004-0000-0100-000005000000}"/>
  </hyperlinks>
  <pageMargins left="0.19685039370078741" right="0.19685039370078741" top="0.23622047244094491" bottom="0.23622047244094491" header="0" footer="0.19685039370078741"/>
  <pageSetup paperSize="9" scale="91" orientation="portrait" r:id="rId1"/>
  <headerFooter scaleWithDoc="0">
    <oddFooter>&amp;L&amp;8&amp;K01+049(c) s. imboden&amp;C&amp;8&amp;K01+049printed &amp;D&amp;R&amp;8&amp;K03+000&amp;P/&amp;N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9" id="{3A08837D-2837-485A-ADD8-9B7B829817FE}">
            <x14:iconSet iconSet="3Signs" showValue="0" custom="1">
              <x14:cfvo type="percent">
                <xm:f>0</xm:f>
              </x14:cfvo>
              <x14:cfvo type="num">
                <xm:f>0</xm:f>
              </x14:cfvo>
              <x14:cfvo type="percentile">
                <xm:f>0</xm:f>
              </x14:cfvo>
              <x14:cfIcon iconSet="3Signs" iconId="0"/>
              <x14:cfIcon iconSet="3Signs" iconId="0"/>
              <x14:cfIcon iconSet="3Signs" iconId="0"/>
            </x14:iconSet>
          </x14:cfRule>
          <xm:sqref>I40:I47</xm:sqref>
        </x14:conditionalFormatting>
        <x14:conditionalFormatting xmlns:xm="http://schemas.microsoft.com/office/excel/2006/main">
          <x14:cfRule type="iconSet" priority="36" id="{06CFA383-B0A7-4009-9BF7-B75EFEB43EFA}">
            <x14:iconSet showValue="0" custom="1">
              <x14:cfvo type="percent">
                <xm:f>0</xm:f>
              </x14:cfvo>
              <x14:cfvo type="num">
                <xm:f>80</xm:f>
              </x14:cfvo>
              <x14:cfvo type="num">
                <xm:f>100</xm:f>
              </x14:cfvo>
              <x14:cfIcon iconSet="3Symbols" iconId="2"/>
              <x14:cfIcon iconSet="3Symbols" iconId="1"/>
              <x14:cfIcon iconSet="3Symbols" iconId="0"/>
            </x14:iconSet>
          </x14:cfRule>
          <xm:sqref>I36</xm:sqref>
        </x14:conditionalFormatting>
        <x14:conditionalFormatting xmlns:xm="http://schemas.microsoft.com/office/excel/2006/main">
          <x14:cfRule type="iconSet" priority="12658" id="{F93E4E76-F2E9-4806-98A9-DAA858F246EF}">
            <x14:iconSet showValue="0" custom="1">
              <x14:cfvo type="percent">
                <xm:f>0</xm:f>
              </x14:cfvo>
              <x14:cfvo type="num" gte="0">
                <xm:f>90</xm:f>
              </x14:cfvo>
              <x14:cfvo type="num" gte="0">
                <xm:f>100</xm:f>
              </x14:cfvo>
              <x14:cfIcon iconSet="3Symbols" iconId="2"/>
              <x14:cfIcon iconSet="3Symbols" iconId="1"/>
              <x14:cfIcon iconSet="3Symbols" iconId="0"/>
            </x14:iconSet>
          </x14:cfRule>
          <xm:sqref>I30 I32 I34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allowBlank="1" showErrorMessage="1" errorTitle="Name is not in the list!" error="Um einen Namen in der Liste hinzuzufügen vervollstgändigen Sie die Liste mit dem Projektteam._x000a__x000a_Pour ajouter un nom dans la liste, veuillez ajouter cette personne dans la liste de l'équipe de projet." xr:uid="{00000000-0002-0000-0100-000005000000}">
          <x14:formula1>
            <xm:f>Projektteam!$D$10:$D$31</xm:f>
          </x14:formula1>
          <xm:sqref>H40:H47</xm:sqref>
        </x14:dataValidation>
        <x14:dataValidation type="list" errorStyle="warning" allowBlank="1" showInputMessage="1" showErrorMessage="1" error="Dieser Name existiert nicht in der Liste des Teams! _x000a_Ce nom n'existe pas dans la liste de l'équipe du team!" xr:uid="{00000000-0002-0000-0100-000006000000}">
          <x14:formula1>
            <xm:f>Projektteam!$BA$10:$BA$31</xm:f>
          </x14:formula1>
          <xm:sqref>J6</xm:sqref>
        </x14:dataValidation>
        <x14:dataValidation type="list" allowBlank="1" showInputMessage="1" showErrorMessage="1" errorTitle="Name is not in the list?" error="Um einen Namen in der Liste hinzuzufügen vervollstgändigen Sie die Liste mit dem Projektteam._x000a__x000a_Pour ajouter un nom dans la liste, veuillez ajouter cette personne dans la liste de l'équipe de projet." xr:uid="{00000000-0002-0000-0100-000007000000}">
          <x14:formula1>
            <xm:f>Projektteam!$BA$10:$BA$31</xm:f>
          </x14:formula1>
          <xm:sqref>J5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Detailplan">
    <tabColor theme="3" tint="0.59999389629810485"/>
  </sheetPr>
  <dimension ref="A1:PD229"/>
  <sheetViews>
    <sheetView showGridLines="0" zoomScaleNormal="100" workbookViewId="0">
      <pane xSplit="11" ySplit="14" topLeftCell="L15" activePane="bottomRight" state="frozen"/>
      <selection activeCell="C28" sqref="C28"/>
      <selection pane="topRight" activeCell="C28" sqref="C28"/>
      <selection pane="bottomLeft" activeCell="C28" sqref="C28"/>
      <selection pane="bottomRight" activeCell="C15" sqref="C15"/>
    </sheetView>
  </sheetViews>
  <sheetFormatPr baseColWidth="10" defaultColWidth="3.88671875" defaultRowHeight="14.4" x14ac:dyDescent="0.3"/>
  <cols>
    <col min="1" max="1" width="3.88671875" style="435" customWidth="1"/>
    <col min="2" max="2" width="5.44140625" style="590" customWidth="1"/>
    <col min="3" max="3" width="60.33203125" style="591" customWidth="1"/>
    <col min="4" max="4" width="9.5546875" style="591" customWidth="1"/>
    <col min="5" max="5" width="6.109375" style="591" customWidth="1"/>
    <col min="6" max="6" width="9.5546875" style="591" customWidth="1"/>
    <col min="7" max="8" width="8.88671875" style="591" customWidth="1"/>
    <col min="9" max="9" width="4.44140625" style="625" customWidth="1"/>
    <col min="10" max="10" width="6.44140625" style="591" customWidth="1"/>
    <col min="11" max="11" width="7.88671875" style="591" customWidth="1"/>
    <col min="12" max="12" width="7.77734375" style="591" hidden="1" customWidth="1"/>
    <col min="13" max="231" width="3.88671875" style="591"/>
    <col min="232" max="232" width="13.5546875" style="591" customWidth="1"/>
    <col min="233" max="233" width="9.5546875" style="591" customWidth="1"/>
    <col min="234" max="487" width="3.88671875" style="591"/>
    <col min="488" max="488" width="13.5546875" style="591" customWidth="1"/>
    <col min="489" max="489" width="9.5546875" style="591" customWidth="1"/>
    <col min="490" max="743" width="3.88671875" style="591"/>
    <col min="744" max="744" width="13.5546875" style="591" customWidth="1"/>
    <col min="745" max="745" width="9.5546875" style="591" customWidth="1"/>
    <col min="746" max="999" width="3.88671875" style="591"/>
    <col min="1000" max="1000" width="13.5546875" style="591" customWidth="1"/>
    <col min="1001" max="1001" width="9.5546875" style="591" customWidth="1"/>
    <col min="1002" max="1255" width="3.88671875" style="591"/>
    <col min="1256" max="1256" width="13.5546875" style="591" customWidth="1"/>
    <col min="1257" max="1257" width="9.5546875" style="591" customWidth="1"/>
    <col min="1258" max="1511" width="3.88671875" style="591"/>
    <col min="1512" max="1512" width="13.5546875" style="591" customWidth="1"/>
    <col min="1513" max="1513" width="9.5546875" style="591" customWidth="1"/>
    <col min="1514" max="1767" width="3.88671875" style="591"/>
    <col min="1768" max="1768" width="13.5546875" style="591" customWidth="1"/>
    <col min="1769" max="1769" width="9.5546875" style="591" customWidth="1"/>
    <col min="1770" max="2023" width="3.88671875" style="591"/>
    <col min="2024" max="2024" width="13.5546875" style="591" customWidth="1"/>
    <col min="2025" max="2025" width="9.5546875" style="591" customWidth="1"/>
    <col min="2026" max="2279" width="3.88671875" style="591"/>
    <col min="2280" max="2280" width="13.5546875" style="591" customWidth="1"/>
    <col min="2281" max="2281" width="9.5546875" style="591" customWidth="1"/>
    <col min="2282" max="2535" width="3.88671875" style="591"/>
    <col min="2536" max="2536" width="13.5546875" style="591" customWidth="1"/>
    <col min="2537" max="2537" width="9.5546875" style="591" customWidth="1"/>
    <col min="2538" max="2791" width="3.88671875" style="591"/>
    <col min="2792" max="2792" width="13.5546875" style="591" customWidth="1"/>
    <col min="2793" max="2793" width="9.5546875" style="591" customWidth="1"/>
    <col min="2794" max="3047" width="3.88671875" style="591"/>
    <col min="3048" max="3048" width="13.5546875" style="591" customWidth="1"/>
    <col min="3049" max="3049" width="9.5546875" style="591" customWidth="1"/>
    <col min="3050" max="3303" width="3.88671875" style="591"/>
    <col min="3304" max="3304" width="13.5546875" style="591" customWidth="1"/>
    <col min="3305" max="3305" width="9.5546875" style="591" customWidth="1"/>
    <col min="3306" max="3559" width="3.88671875" style="591"/>
    <col min="3560" max="3560" width="13.5546875" style="591" customWidth="1"/>
    <col min="3561" max="3561" width="9.5546875" style="591" customWidth="1"/>
    <col min="3562" max="3815" width="3.88671875" style="591"/>
    <col min="3816" max="3816" width="13.5546875" style="591" customWidth="1"/>
    <col min="3817" max="3817" width="9.5546875" style="591" customWidth="1"/>
    <col min="3818" max="4071" width="3.88671875" style="591"/>
    <col min="4072" max="4072" width="13.5546875" style="591" customWidth="1"/>
    <col min="4073" max="4073" width="9.5546875" style="591" customWidth="1"/>
    <col min="4074" max="4327" width="3.88671875" style="591"/>
    <col min="4328" max="4328" width="13.5546875" style="591" customWidth="1"/>
    <col min="4329" max="4329" width="9.5546875" style="591" customWidth="1"/>
    <col min="4330" max="4583" width="3.88671875" style="591"/>
    <col min="4584" max="4584" width="13.5546875" style="591" customWidth="1"/>
    <col min="4585" max="4585" width="9.5546875" style="591" customWidth="1"/>
    <col min="4586" max="4839" width="3.88671875" style="591"/>
    <col min="4840" max="4840" width="13.5546875" style="591" customWidth="1"/>
    <col min="4841" max="4841" width="9.5546875" style="591" customWidth="1"/>
    <col min="4842" max="5095" width="3.88671875" style="591"/>
    <col min="5096" max="5096" width="13.5546875" style="591" customWidth="1"/>
    <col min="5097" max="5097" width="9.5546875" style="591" customWidth="1"/>
    <col min="5098" max="5351" width="3.88671875" style="591"/>
    <col min="5352" max="5352" width="13.5546875" style="591" customWidth="1"/>
    <col min="5353" max="5353" width="9.5546875" style="591" customWidth="1"/>
    <col min="5354" max="5607" width="3.88671875" style="591"/>
    <col min="5608" max="5608" width="13.5546875" style="591" customWidth="1"/>
    <col min="5609" max="5609" width="9.5546875" style="591" customWidth="1"/>
    <col min="5610" max="5863" width="3.88671875" style="591"/>
    <col min="5864" max="5864" width="13.5546875" style="591" customWidth="1"/>
    <col min="5865" max="5865" width="9.5546875" style="591" customWidth="1"/>
    <col min="5866" max="6119" width="3.88671875" style="591"/>
    <col min="6120" max="6120" width="13.5546875" style="591" customWidth="1"/>
    <col min="6121" max="6121" width="9.5546875" style="591" customWidth="1"/>
    <col min="6122" max="6375" width="3.88671875" style="591"/>
    <col min="6376" max="6376" width="13.5546875" style="591" customWidth="1"/>
    <col min="6377" max="6377" width="9.5546875" style="591" customWidth="1"/>
    <col min="6378" max="6631" width="3.88671875" style="591"/>
    <col min="6632" max="6632" width="13.5546875" style="591" customWidth="1"/>
    <col min="6633" max="6633" width="9.5546875" style="591" customWidth="1"/>
    <col min="6634" max="6887" width="3.88671875" style="591"/>
    <col min="6888" max="6888" width="13.5546875" style="591" customWidth="1"/>
    <col min="6889" max="6889" width="9.5546875" style="591" customWidth="1"/>
    <col min="6890" max="7143" width="3.88671875" style="591"/>
    <col min="7144" max="7144" width="13.5546875" style="591" customWidth="1"/>
    <col min="7145" max="7145" width="9.5546875" style="591" customWidth="1"/>
    <col min="7146" max="7399" width="3.88671875" style="591"/>
    <col min="7400" max="7400" width="13.5546875" style="591" customWidth="1"/>
    <col min="7401" max="7401" width="9.5546875" style="591" customWidth="1"/>
    <col min="7402" max="7655" width="3.88671875" style="591"/>
    <col min="7656" max="7656" width="13.5546875" style="591" customWidth="1"/>
    <col min="7657" max="7657" width="9.5546875" style="591" customWidth="1"/>
    <col min="7658" max="7911" width="3.88671875" style="591"/>
    <col min="7912" max="7912" width="13.5546875" style="591" customWidth="1"/>
    <col min="7913" max="7913" width="9.5546875" style="591" customWidth="1"/>
    <col min="7914" max="8167" width="3.88671875" style="591"/>
    <col min="8168" max="8168" width="13.5546875" style="591" customWidth="1"/>
    <col min="8169" max="8169" width="9.5546875" style="591" customWidth="1"/>
    <col min="8170" max="8423" width="3.88671875" style="591"/>
    <col min="8424" max="8424" width="13.5546875" style="591" customWidth="1"/>
    <col min="8425" max="8425" width="9.5546875" style="591" customWidth="1"/>
    <col min="8426" max="8679" width="3.88671875" style="591"/>
    <col min="8680" max="8680" width="13.5546875" style="591" customWidth="1"/>
    <col min="8681" max="8681" width="9.5546875" style="591" customWidth="1"/>
    <col min="8682" max="8935" width="3.88671875" style="591"/>
    <col min="8936" max="8936" width="13.5546875" style="591" customWidth="1"/>
    <col min="8937" max="8937" width="9.5546875" style="591" customWidth="1"/>
    <col min="8938" max="9191" width="3.88671875" style="591"/>
    <col min="9192" max="9192" width="13.5546875" style="591" customWidth="1"/>
    <col min="9193" max="9193" width="9.5546875" style="591" customWidth="1"/>
    <col min="9194" max="9447" width="3.88671875" style="591"/>
    <col min="9448" max="9448" width="13.5546875" style="591" customWidth="1"/>
    <col min="9449" max="9449" width="9.5546875" style="591" customWidth="1"/>
    <col min="9450" max="9703" width="3.88671875" style="591"/>
    <col min="9704" max="9704" width="13.5546875" style="591" customWidth="1"/>
    <col min="9705" max="9705" width="9.5546875" style="591" customWidth="1"/>
    <col min="9706" max="9959" width="3.88671875" style="591"/>
    <col min="9960" max="9960" width="13.5546875" style="591" customWidth="1"/>
    <col min="9961" max="9961" width="9.5546875" style="591" customWidth="1"/>
    <col min="9962" max="10215" width="3.88671875" style="591"/>
    <col min="10216" max="10216" width="13.5546875" style="591" customWidth="1"/>
    <col min="10217" max="10217" width="9.5546875" style="591" customWidth="1"/>
    <col min="10218" max="10471" width="3.88671875" style="591"/>
    <col min="10472" max="10472" width="13.5546875" style="591" customWidth="1"/>
    <col min="10473" max="10473" width="9.5546875" style="591" customWidth="1"/>
    <col min="10474" max="10727" width="3.88671875" style="591"/>
    <col min="10728" max="10728" width="13.5546875" style="591" customWidth="1"/>
    <col min="10729" max="10729" width="9.5546875" style="591" customWidth="1"/>
    <col min="10730" max="10983" width="3.88671875" style="591"/>
    <col min="10984" max="10984" width="13.5546875" style="591" customWidth="1"/>
    <col min="10985" max="10985" width="9.5546875" style="591" customWidth="1"/>
    <col min="10986" max="11239" width="3.88671875" style="591"/>
    <col min="11240" max="11240" width="13.5546875" style="591" customWidth="1"/>
    <col min="11241" max="11241" width="9.5546875" style="591" customWidth="1"/>
    <col min="11242" max="11495" width="3.88671875" style="591"/>
    <col min="11496" max="11496" width="13.5546875" style="591" customWidth="1"/>
    <col min="11497" max="11497" width="9.5546875" style="591" customWidth="1"/>
    <col min="11498" max="11751" width="3.88671875" style="591"/>
    <col min="11752" max="11752" width="13.5546875" style="591" customWidth="1"/>
    <col min="11753" max="11753" width="9.5546875" style="591" customWidth="1"/>
    <col min="11754" max="12007" width="3.88671875" style="591"/>
    <col min="12008" max="12008" width="13.5546875" style="591" customWidth="1"/>
    <col min="12009" max="12009" width="9.5546875" style="591" customWidth="1"/>
    <col min="12010" max="12263" width="3.88671875" style="591"/>
    <col min="12264" max="12264" width="13.5546875" style="591" customWidth="1"/>
    <col min="12265" max="12265" width="9.5546875" style="591" customWidth="1"/>
    <col min="12266" max="12519" width="3.88671875" style="591"/>
    <col min="12520" max="12520" width="13.5546875" style="591" customWidth="1"/>
    <col min="12521" max="12521" width="9.5546875" style="591" customWidth="1"/>
    <col min="12522" max="12775" width="3.88671875" style="591"/>
    <col min="12776" max="12776" width="13.5546875" style="591" customWidth="1"/>
    <col min="12777" max="12777" width="9.5546875" style="591" customWidth="1"/>
    <col min="12778" max="13031" width="3.88671875" style="591"/>
    <col min="13032" max="13032" width="13.5546875" style="591" customWidth="1"/>
    <col min="13033" max="13033" width="9.5546875" style="591" customWidth="1"/>
    <col min="13034" max="13287" width="3.88671875" style="591"/>
    <col min="13288" max="13288" width="13.5546875" style="591" customWidth="1"/>
    <col min="13289" max="13289" width="9.5546875" style="591" customWidth="1"/>
    <col min="13290" max="13543" width="3.88671875" style="591"/>
    <col min="13544" max="13544" width="13.5546875" style="591" customWidth="1"/>
    <col min="13545" max="13545" width="9.5546875" style="591" customWidth="1"/>
    <col min="13546" max="13799" width="3.88671875" style="591"/>
    <col min="13800" max="13800" width="13.5546875" style="591" customWidth="1"/>
    <col min="13801" max="13801" width="9.5546875" style="591" customWidth="1"/>
    <col min="13802" max="14055" width="3.88671875" style="591"/>
    <col min="14056" max="14056" width="13.5546875" style="591" customWidth="1"/>
    <col min="14057" max="14057" width="9.5546875" style="591" customWidth="1"/>
    <col min="14058" max="14311" width="3.88671875" style="591"/>
    <col min="14312" max="14312" width="13.5546875" style="591" customWidth="1"/>
    <col min="14313" max="14313" width="9.5546875" style="591" customWidth="1"/>
    <col min="14314" max="14567" width="3.88671875" style="591"/>
    <col min="14568" max="14568" width="13.5546875" style="591" customWidth="1"/>
    <col min="14569" max="14569" width="9.5546875" style="591" customWidth="1"/>
    <col min="14570" max="16384" width="3.88671875" style="591"/>
  </cols>
  <sheetData>
    <row r="1" spans="1:420" s="569" customFormat="1" ht="45" customHeight="1" x14ac:dyDescent="0.6">
      <c r="A1" s="568"/>
      <c r="C1" s="570" t="str">
        <f ca="1">' '!A116</f>
        <v>P L A N I F I C A T I O N    D É T A I L L É E</v>
      </c>
      <c r="D1" s="571"/>
      <c r="E1" s="392"/>
      <c r="F1" s="571"/>
      <c r="G1" s="571"/>
      <c r="H1" s="571"/>
      <c r="I1" s="572"/>
      <c r="J1" s="571"/>
      <c r="K1" s="392"/>
      <c r="L1" s="392"/>
    </row>
    <row r="2" spans="1:420" s="575" customFormat="1" ht="7.5" customHeight="1" x14ac:dyDescent="0.3">
      <c r="A2" s="573"/>
      <c r="B2" s="574"/>
      <c r="C2" s="401"/>
      <c r="I2" s="576"/>
    </row>
    <row r="3" spans="1:420" s="422" customFormat="1" ht="15" customHeight="1" x14ac:dyDescent="0.3">
      <c r="A3" s="212"/>
      <c r="B3" s="577"/>
      <c r="C3" s="578" t="str">
        <f ca="1">CONCATENATE(Projektauftrag!B4," ",Projektauftrag!D4)</f>
        <v>No. de projet : P1</v>
      </c>
      <c r="D3" s="1021"/>
      <c r="E3" s="1021"/>
      <c r="F3" s="1021"/>
      <c r="G3" s="1021"/>
      <c r="H3" s="579"/>
      <c r="I3" s="579"/>
      <c r="J3" s="579"/>
      <c r="K3" s="580"/>
      <c r="L3" s="581"/>
    </row>
    <row r="4" spans="1:420" s="588" customFormat="1" ht="24" customHeight="1" x14ac:dyDescent="0.3">
      <c r="A4" s="435"/>
      <c r="B4" s="583"/>
      <c r="C4" s="584" t="str">
        <f ca="1">CONCATENATE(Projektauftrag!B5," ",Projektauftrag!D5)</f>
        <v>Nom du projet : Projet xy</v>
      </c>
      <c r="D4" s="1022"/>
      <c r="E4" s="1022"/>
      <c r="F4" s="1022"/>
      <c r="G4" s="1022"/>
      <c r="H4" s="585"/>
      <c r="I4" s="586"/>
      <c r="J4" s="579"/>
      <c r="K4" s="580"/>
      <c r="L4" s="587"/>
    </row>
    <row r="5" spans="1:420" s="588" customFormat="1" ht="24" customHeight="1" x14ac:dyDescent="0.3">
      <c r="A5" s="435"/>
      <c r="B5" s="583"/>
      <c r="C5" s="1011" t="str">
        <f ca="1">' '!A137</f>
        <v>Aperçu des heures</v>
      </c>
      <c r="D5" s="1011"/>
      <c r="E5" s="1011"/>
      <c r="F5" s="1011"/>
      <c r="G5" s="1011"/>
      <c r="H5" s="1011"/>
      <c r="I5" s="1011"/>
      <c r="J5" s="1014">
        <f>Projektteam!AG34</f>
        <v>640</v>
      </c>
      <c r="K5" s="1015"/>
      <c r="L5" s="589"/>
    </row>
    <row r="6" spans="1:420" s="422" customFormat="1" ht="15" hidden="1" customHeight="1" x14ac:dyDescent="0.3">
      <c r="A6" s="435"/>
      <c r="B6" s="577"/>
      <c r="C6" s="1017" t="str">
        <f ca="1">Projektauftrag!B7</f>
        <v>Objectif stratégique</v>
      </c>
      <c r="D6" s="1018"/>
      <c r="E6" s="1018"/>
      <c r="F6" s="1018"/>
      <c r="G6" s="1018"/>
      <c r="H6" s="1018"/>
      <c r="I6" s="1018"/>
      <c r="J6" s="1018"/>
      <c r="K6" s="1018"/>
      <c r="L6" s="1018"/>
    </row>
    <row r="7" spans="1:420" ht="15" hidden="1" customHeight="1" x14ac:dyDescent="0.3">
      <c r="C7" s="1017"/>
      <c r="D7" s="1018"/>
      <c r="E7" s="1018"/>
      <c r="F7" s="1018"/>
      <c r="G7" s="1018"/>
      <c r="H7" s="1018"/>
      <c r="I7" s="1018"/>
      <c r="J7" s="1018"/>
      <c r="K7" s="1018"/>
      <c r="L7" s="1018"/>
    </row>
    <row r="8" spans="1:420" ht="15.75" hidden="1" customHeight="1" x14ac:dyDescent="0.3">
      <c r="C8" s="4"/>
      <c r="D8" s="1019"/>
      <c r="E8" s="1019"/>
      <c r="F8" s="1019"/>
      <c r="G8" s="1019"/>
      <c r="H8" s="1019"/>
      <c r="I8" s="1019"/>
      <c r="J8" s="1019"/>
      <c r="K8" s="1019"/>
      <c r="L8" s="1019"/>
    </row>
    <row r="9" spans="1:420" s="597" customFormat="1" ht="8.4" hidden="1" customHeight="1" x14ac:dyDescent="0.3">
      <c r="A9" s="435"/>
      <c r="B9" s="592"/>
      <c r="C9" s="593"/>
      <c r="D9" s="594"/>
      <c r="E9" s="595"/>
      <c r="F9" s="595"/>
      <c r="G9" s="595"/>
      <c r="H9" s="167">
        <v>1</v>
      </c>
      <c r="I9" s="596"/>
      <c r="J9" s="595"/>
      <c r="K9" s="595"/>
      <c r="L9" s="595"/>
    </row>
    <row r="10" spans="1:420" s="597" customFormat="1" ht="14.25" customHeight="1" x14ac:dyDescent="0.3">
      <c r="A10" s="435"/>
      <c r="B10" s="592"/>
      <c r="C10" s="598"/>
      <c r="D10" s="599"/>
      <c r="E10" s="599"/>
      <c r="F10" s="599"/>
      <c r="G10" s="599"/>
      <c r="H10" s="599"/>
      <c r="I10" s="600"/>
      <c r="J10" s="599"/>
      <c r="K10" s="599"/>
      <c r="L10" s="599"/>
    </row>
    <row r="11" spans="1:420" s="602" customFormat="1" ht="20.25" customHeight="1" x14ac:dyDescent="0.2">
      <c r="A11" s="601"/>
      <c r="C11" s="603"/>
      <c r="D11" s="604"/>
      <c r="E11" s="604"/>
      <c r="F11" s="604"/>
      <c r="G11" s="604"/>
      <c r="H11" s="604"/>
      <c r="I11" s="604"/>
      <c r="J11" s="604"/>
      <c r="K11" s="604"/>
      <c r="L11" s="604"/>
    </row>
    <row r="12" spans="1:420" s="605" customFormat="1" ht="12.75" customHeight="1" x14ac:dyDescent="0.2">
      <c r="A12" s="1006" t="str">
        <f ca="1">' '!A348</f>
        <v>No.</v>
      </c>
      <c r="B12" s="1007"/>
      <c r="C12" s="1008" t="str">
        <f ca="1">' '!A119</f>
        <v>Planification détaillée</v>
      </c>
      <c r="D12" s="1007" t="str">
        <f ca="1">' '!A102</f>
        <v>Début</v>
      </c>
      <c r="E12" s="1012" t="str">
        <f ca="1">' '!A138</f>
        <v>Durée
(jours)</v>
      </c>
      <c r="F12" s="1007" t="str">
        <f ca="1">' '!A103</f>
        <v>Fin</v>
      </c>
      <c r="G12" s="1009" t="str">
        <f ca="1">' '!A104</f>
        <v>Qui ?</v>
      </c>
      <c r="H12" s="1013" t="str">
        <f ca="1">' '!A141</f>
        <v>Progrès</v>
      </c>
      <c r="I12" s="1010">
        <v>0</v>
      </c>
      <c r="J12" s="1016">
        <v>0</v>
      </c>
      <c r="K12" s="1020"/>
      <c r="L12" s="1020"/>
    </row>
    <row r="13" spans="1:420" s="607" customFormat="1" ht="18" customHeight="1" x14ac:dyDescent="0.2">
      <c r="A13" s="1006"/>
      <c r="B13" s="1007"/>
      <c r="C13" s="1008"/>
      <c r="D13" s="1007"/>
      <c r="E13" s="1012"/>
      <c r="F13" s="1007" t="s">
        <v>66</v>
      </c>
      <c r="G13" s="1009"/>
      <c r="H13" s="1013"/>
      <c r="I13" s="1010"/>
      <c r="J13" s="1016"/>
      <c r="K13" s="1020"/>
      <c r="L13" s="1020"/>
      <c r="M13" s="606"/>
      <c r="N13" s="606"/>
      <c r="O13" s="606"/>
      <c r="P13" s="606"/>
      <c r="Q13" s="606"/>
      <c r="R13" s="606"/>
      <c r="S13" s="606"/>
      <c r="T13" s="606"/>
      <c r="U13" s="606"/>
      <c r="V13" s="606"/>
      <c r="W13" s="606"/>
      <c r="X13" s="606"/>
      <c r="Y13" s="606"/>
      <c r="Z13" s="606"/>
      <c r="AA13" s="606"/>
      <c r="AB13" s="606"/>
      <c r="AC13" s="606"/>
      <c r="AD13" s="606"/>
      <c r="AE13" s="606"/>
      <c r="AF13" s="606"/>
      <c r="AG13" s="606"/>
      <c r="AH13" s="606"/>
      <c r="AI13" s="606"/>
      <c r="AJ13" s="606"/>
      <c r="AK13" s="606"/>
      <c r="AL13" s="606"/>
      <c r="AM13" s="606"/>
      <c r="AN13" s="606"/>
      <c r="AO13" s="606"/>
      <c r="AP13" s="606"/>
      <c r="AQ13" s="606"/>
      <c r="AR13" s="606"/>
      <c r="AS13" s="606"/>
      <c r="AT13" s="606"/>
      <c r="AU13" s="606"/>
      <c r="AV13" s="606"/>
      <c r="AW13" s="606"/>
      <c r="AX13" s="606"/>
      <c r="AY13" s="606"/>
      <c r="AZ13" s="606"/>
      <c r="BA13" s="606"/>
      <c r="BB13" s="606"/>
      <c r="BC13" s="606"/>
      <c r="BD13" s="606"/>
      <c r="BE13" s="606"/>
      <c r="BF13" s="606"/>
      <c r="BG13" s="606"/>
      <c r="BH13" s="606"/>
      <c r="BI13" s="606"/>
      <c r="BJ13" s="606"/>
      <c r="BK13" s="606"/>
      <c r="BL13" s="606"/>
      <c r="BM13" s="606"/>
      <c r="BN13" s="606"/>
      <c r="BO13" s="606"/>
      <c r="BP13" s="606"/>
      <c r="BQ13" s="606"/>
      <c r="BR13" s="606"/>
      <c r="BS13" s="606"/>
      <c r="BT13" s="606"/>
      <c r="BU13" s="606"/>
      <c r="BV13" s="606"/>
      <c r="BW13" s="606"/>
      <c r="BX13" s="606"/>
      <c r="BY13" s="606"/>
      <c r="BZ13" s="606"/>
      <c r="CA13" s="606"/>
      <c r="CB13" s="606"/>
      <c r="CC13" s="606"/>
      <c r="CD13" s="606"/>
      <c r="CE13" s="606"/>
      <c r="CF13" s="606"/>
      <c r="CG13" s="606"/>
      <c r="CH13" s="606"/>
      <c r="CI13" s="606"/>
      <c r="CJ13" s="606"/>
      <c r="CK13" s="606"/>
      <c r="CL13" s="606"/>
      <c r="CM13" s="606"/>
      <c r="CN13" s="606"/>
      <c r="CO13" s="606"/>
      <c r="CP13" s="606"/>
      <c r="CQ13" s="606"/>
      <c r="CR13" s="606"/>
      <c r="CS13" s="606"/>
      <c r="CT13" s="606"/>
      <c r="CU13" s="606"/>
      <c r="CV13" s="606"/>
      <c r="CW13" s="606"/>
      <c r="CX13" s="606"/>
      <c r="CY13" s="606"/>
      <c r="CZ13" s="606"/>
      <c r="DA13" s="606"/>
      <c r="DB13" s="606"/>
      <c r="DC13" s="606"/>
      <c r="DD13" s="606"/>
      <c r="DE13" s="606"/>
      <c r="DF13" s="606"/>
      <c r="DG13" s="606"/>
      <c r="DH13" s="606"/>
      <c r="DI13" s="606"/>
      <c r="DJ13" s="606"/>
      <c r="DK13" s="606"/>
      <c r="DL13" s="606"/>
      <c r="DM13" s="606"/>
      <c r="DN13" s="606"/>
      <c r="DO13" s="606"/>
      <c r="DP13" s="606"/>
      <c r="DQ13" s="606"/>
      <c r="DR13" s="606"/>
      <c r="DS13" s="606"/>
      <c r="DT13" s="606"/>
      <c r="DU13" s="606"/>
      <c r="DV13" s="606"/>
      <c r="DW13" s="606"/>
      <c r="DX13" s="606"/>
      <c r="DY13" s="606"/>
      <c r="DZ13" s="606"/>
      <c r="EA13" s="606"/>
      <c r="EB13" s="606"/>
      <c r="EC13" s="606"/>
      <c r="ED13" s="606"/>
      <c r="EE13" s="606"/>
      <c r="EF13" s="606"/>
      <c r="EG13" s="606"/>
      <c r="EH13" s="606"/>
      <c r="EI13" s="606"/>
      <c r="EJ13" s="606"/>
      <c r="EK13" s="606"/>
      <c r="EL13" s="606"/>
      <c r="EM13" s="606"/>
      <c r="EN13" s="606"/>
      <c r="EO13" s="606"/>
      <c r="EP13" s="606"/>
      <c r="EQ13" s="606"/>
      <c r="ER13" s="606"/>
      <c r="ES13" s="606"/>
      <c r="ET13" s="606"/>
      <c r="EU13" s="606"/>
      <c r="EV13" s="606"/>
      <c r="EW13" s="606"/>
      <c r="EX13" s="606"/>
      <c r="EY13" s="606"/>
      <c r="EZ13" s="606"/>
      <c r="FA13" s="606"/>
      <c r="FB13" s="606"/>
      <c r="FC13" s="606"/>
      <c r="FD13" s="606"/>
      <c r="FE13" s="606"/>
      <c r="FF13" s="606"/>
      <c r="FG13" s="606"/>
      <c r="FH13" s="606"/>
      <c r="FI13" s="606"/>
      <c r="FJ13" s="606"/>
      <c r="FK13" s="606"/>
      <c r="FL13" s="606"/>
      <c r="FM13" s="606"/>
      <c r="FN13" s="606"/>
      <c r="FO13" s="606"/>
      <c r="FP13" s="606"/>
      <c r="FQ13" s="606"/>
      <c r="FR13" s="606"/>
      <c r="FS13" s="606"/>
      <c r="FT13" s="606"/>
      <c r="FU13" s="606"/>
      <c r="FV13" s="606"/>
      <c r="FW13" s="606"/>
      <c r="FX13" s="606"/>
      <c r="FY13" s="606"/>
      <c r="FZ13" s="606"/>
      <c r="GA13" s="606"/>
      <c r="GB13" s="606"/>
      <c r="GC13" s="606"/>
      <c r="GD13" s="606"/>
      <c r="GE13" s="606"/>
      <c r="GF13" s="606"/>
      <c r="GG13" s="606"/>
      <c r="GH13" s="606"/>
      <c r="GI13" s="606"/>
      <c r="GJ13" s="606"/>
      <c r="GK13" s="606"/>
      <c r="GL13" s="606"/>
      <c r="GM13" s="606"/>
      <c r="GN13" s="606"/>
      <c r="GO13" s="606"/>
      <c r="GP13" s="606"/>
      <c r="GQ13" s="606"/>
      <c r="GR13" s="606"/>
      <c r="GS13" s="606"/>
      <c r="GT13" s="606"/>
      <c r="GU13" s="606"/>
      <c r="GV13" s="606"/>
      <c r="GW13" s="606"/>
      <c r="GX13" s="606"/>
      <c r="GY13" s="606"/>
      <c r="GZ13" s="606"/>
      <c r="HA13" s="606"/>
      <c r="HB13" s="606"/>
      <c r="HC13" s="606"/>
      <c r="HD13" s="606"/>
      <c r="HE13" s="606"/>
      <c r="HF13" s="606"/>
      <c r="HG13" s="606"/>
      <c r="HH13" s="606"/>
      <c r="HI13" s="606"/>
      <c r="HJ13" s="606"/>
      <c r="HK13" s="606"/>
      <c r="HL13" s="606"/>
      <c r="HM13" s="606"/>
      <c r="HN13" s="606"/>
      <c r="HO13" s="606"/>
      <c r="HP13" s="606"/>
      <c r="HQ13" s="606"/>
      <c r="HR13" s="606"/>
      <c r="HS13" s="606"/>
      <c r="HT13" s="606"/>
      <c r="HU13" s="606"/>
      <c r="HV13" s="606"/>
      <c r="HW13" s="606"/>
      <c r="HX13" s="606"/>
      <c r="HY13" s="606"/>
      <c r="HZ13" s="606"/>
      <c r="IA13" s="606"/>
      <c r="IB13" s="606"/>
      <c r="IC13" s="606"/>
      <c r="ID13" s="606"/>
      <c r="IE13" s="606"/>
      <c r="IF13" s="606"/>
      <c r="IG13" s="606"/>
      <c r="IH13" s="606"/>
      <c r="II13" s="606"/>
      <c r="IJ13" s="606"/>
      <c r="IK13" s="606"/>
      <c r="IL13" s="606"/>
      <c r="IM13" s="606"/>
      <c r="IN13" s="606"/>
      <c r="IO13" s="606"/>
      <c r="IP13" s="606"/>
      <c r="IQ13" s="606"/>
      <c r="IR13" s="606"/>
      <c r="IS13" s="606"/>
      <c r="IT13" s="606"/>
      <c r="IU13" s="606"/>
      <c r="IV13" s="606"/>
      <c r="IW13" s="606"/>
      <c r="IX13" s="606"/>
      <c r="IY13" s="606"/>
      <c r="IZ13" s="606"/>
      <c r="JA13" s="606"/>
      <c r="JB13" s="606"/>
      <c r="JC13" s="606"/>
      <c r="JD13" s="606"/>
      <c r="JE13" s="606"/>
      <c r="JF13" s="606"/>
      <c r="JG13" s="606"/>
      <c r="JH13" s="606"/>
      <c r="JI13" s="606"/>
      <c r="JJ13" s="606"/>
      <c r="JK13" s="606"/>
      <c r="JL13" s="606"/>
      <c r="JM13" s="606"/>
      <c r="JN13" s="606"/>
      <c r="JO13" s="606"/>
      <c r="JP13" s="606"/>
      <c r="JQ13" s="606"/>
      <c r="JR13" s="606"/>
      <c r="JS13" s="606"/>
      <c r="JT13" s="606"/>
      <c r="JU13" s="606"/>
      <c r="JV13" s="606"/>
      <c r="JW13" s="606"/>
      <c r="JX13" s="606"/>
      <c r="JY13" s="606"/>
      <c r="JZ13" s="606"/>
      <c r="KA13" s="606"/>
      <c r="KB13" s="606"/>
      <c r="KC13" s="606"/>
      <c r="KD13" s="606"/>
      <c r="KE13" s="606"/>
      <c r="KF13" s="606"/>
      <c r="KG13" s="606"/>
      <c r="KH13" s="606"/>
      <c r="KI13" s="606"/>
      <c r="KJ13" s="606"/>
      <c r="KK13" s="606"/>
      <c r="KL13" s="606"/>
      <c r="KM13" s="606"/>
      <c r="KN13" s="606"/>
      <c r="KO13" s="606"/>
      <c r="KP13" s="606"/>
      <c r="KQ13" s="606"/>
      <c r="KR13" s="606"/>
      <c r="KS13" s="606"/>
      <c r="KT13" s="606"/>
      <c r="KU13" s="606"/>
      <c r="KV13" s="606"/>
      <c r="KW13" s="606"/>
      <c r="KX13" s="606"/>
      <c r="KY13" s="606"/>
      <c r="KZ13" s="606"/>
      <c r="LA13" s="606"/>
      <c r="LB13" s="606"/>
      <c r="LC13" s="606"/>
      <c r="LD13" s="606"/>
      <c r="LE13" s="606"/>
      <c r="LF13" s="606"/>
      <c r="LG13" s="606"/>
      <c r="LH13" s="606"/>
      <c r="LI13" s="606"/>
      <c r="LJ13" s="606"/>
      <c r="LK13" s="606"/>
      <c r="LL13" s="606"/>
      <c r="LM13" s="606"/>
      <c r="LN13" s="606"/>
      <c r="LO13" s="606"/>
      <c r="LP13" s="606"/>
      <c r="LQ13" s="606"/>
      <c r="LR13" s="606"/>
      <c r="LS13" s="606"/>
      <c r="LT13" s="606"/>
      <c r="LU13" s="606"/>
      <c r="LV13" s="606"/>
      <c r="LW13" s="606"/>
      <c r="LX13" s="606"/>
      <c r="LY13" s="606"/>
      <c r="LZ13" s="606"/>
      <c r="MA13" s="606"/>
      <c r="MB13" s="606"/>
      <c r="MC13" s="606"/>
      <c r="MD13" s="606"/>
      <c r="ME13" s="606"/>
      <c r="MF13" s="606"/>
      <c r="MG13" s="606"/>
      <c r="MH13" s="606"/>
      <c r="MI13" s="606"/>
      <c r="MJ13" s="606"/>
      <c r="MK13" s="606"/>
      <c r="ML13" s="606"/>
      <c r="MM13" s="606"/>
      <c r="MN13" s="606"/>
      <c r="MO13" s="606"/>
      <c r="MP13" s="606"/>
      <c r="MQ13" s="606"/>
      <c r="MR13" s="606"/>
      <c r="MS13" s="606"/>
      <c r="MT13" s="606"/>
      <c r="MU13" s="606"/>
      <c r="MV13" s="606"/>
      <c r="MW13" s="606"/>
      <c r="MX13" s="606"/>
      <c r="MY13" s="606"/>
      <c r="MZ13" s="606"/>
      <c r="NA13" s="606"/>
      <c r="NB13" s="606"/>
      <c r="NC13" s="606"/>
      <c r="ND13" s="606"/>
      <c r="NE13" s="606"/>
      <c r="NF13" s="606"/>
      <c r="NG13" s="606"/>
      <c r="NH13" s="606"/>
      <c r="NI13" s="606"/>
      <c r="NJ13" s="606"/>
      <c r="NK13" s="606"/>
      <c r="NL13" s="606"/>
      <c r="NM13" s="606"/>
      <c r="NN13" s="606"/>
      <c r="NO13" s="606"/>
      <c r="NP13" s="606"/>
      <c r="NQ13" s="606"/>
      <c r="NR13" s="606"/>
      <c r="NS13" s="606"/>
      <c r="NT13" s="606"/>
      <c r="NU13" s="606"/>
      <c r="NV13" s="606"/>
      <c r="NW13" s="606"/>
      <c r="NX13" s="606"/>
      <c r="NY13" s="606"/>
      <c r="NZ13" s="606"/>
      <c r="OA13" s="606"/>
      <c r="OB13" s="606"/>
      <c r="OC13" s="606"/>
      <c r="OD13" s="606"/>
      <c r="OE13" s="606"/>
      <c r="OF13" s="606"/>
      <c r="OG13" s="606"/>
      <c r="OH13" s="606"/>
      <c r="OI13" s="606"/>
      <c r="OJ13" s="606"/>
      <c r="OK13" s="606"/>
      <c r="OL13" s="606"/>
      <c r="OM13" s="606"/>
      <c r="ON13" s="606"/>
      <c r="OO13" s="606"/>
      <c r="OP13" s="606"/>
      <c r="OQ13" s="606"/>
      <c r="OR13" s="606"/>
      <c r="OS13" s="606"/>
      <c r="OT13" s="606"/>
      <c r="OU13" s="606"/>
      <c r="OV13" s="606"/>
      <c r="OW13" s="606"/>
      <c r="OX13" s="606"/>
      <c r="OY13" s="606"/>
      <c r="OZ13" s="606"/>
      <c r="PA13" s="606"/>
      <c r="PB13" s="606"/>
      <c r="PC13" s="606"/>
      <c r="PD13" s="606"/>
    </row>
    <row r="14" spans="1:420" s="618" customFormat="1" ht="11.25" customHeight="1" x14ac:dyDescent="0.3">
      <c r="A14" s="608"/>
      <c r="B14" s="609"/>
      <c r="C14" s="610" t="str">
        <f ca="1">' '!A122</f>
        <v>Filtre :</v>
      </c>
      <c r="D14" s="611"/>
      <c r="E14" s="612"/>
      <c r="F14" s="611"/>
      <c r="G14" s="613"/>
      <c r="H14" s="614"/>
      <c r="I14" s="613"/>
      <c r="J14" s="615" t="str">
        <f>IF(Projektteam!AK34&lt;&gt;0,Projektteam!AK34/Projektteam!AE34,"")</f>
        <v/>
      </c>
      <c r="K14" s="616" t="str">
        <f>CONCATENATE(Projektteam!AE34,"h")</f>
        <v>4h</v>
      </c>
      <c r="L14" s="5"/>
      <c r="M14" s="617"/>
      <c r="N14" s="617"/>
      <c r="O14" s="617"/>
      <c r="P14" s="617"/>
      <c r="Q14" s="617"/>
      <c r="R14" s="617"/>
      <c r="S14" s="617"/>
      <c r="T14" s="617"/>
      <c r="U14" s="617"/>
      <c r="V14" s="617"/>
      <c r="W14" s="617"/>
      <c r="X14" s="617"/>
      <c r="Y14" s="617"/>
      <c r="Z14" s="617"/>
      <c r="AA14" s="617"/>
      <c r="AB14" s="617"/>
      <c r="AC14" s="617"/>
      <c r="AD14" s="617"/>
      <c r="AE14" s="617"/>
      <c r="AF14" s="617"/>
      <c r="AG14" s="617"/>
      <c r="AH14" s="617"/>
      <c r="AI14" s="617"/>
      <c r="AJ14" s="617"/>
      <c r="AK14" s="617"/>
      <c r="AL14" s="617"/>
      <c r="AM14" s="617"/>
      <c r="AN14" s="617"/>
      <c r="AO14" s="617"/>
      <c r="AP14" s="617"/>
      <c r="AQ14" s="617"/>
      <c r="AR14" s="617"/>
      <c r="AS14" s="617"/>
      <c r="AT14" s="617"/>
      <c r="AU14" s="617"/>
      <c r="AV14" s="617"/>
      <c r="AW14" s="617"/>
      <c r="AX14" s="617"/>
      <c r="AY14" s="617"/>
      <c r="AZ14" s="617"/>
      <c r="BA14" s="617"/>
      <c r="BB14" s="617"/>
      <c r="BC14" s="617"/>
      <c r="BD14" s="617"/>
      <c r="BE14" s="617"/>
      <c r="BF14" s="617"/>
      <c r="BG14" s="617"/>
      <c r="BH14" s="617"/>
      <c r="BI14" s="617"/>
      <c r="BJ14" s="617"/>
      <c r="BK14" s="617"/>
      <c r="BL14" s="617"/>
      <c r="BM14" s="617"/>
      <c r="BN14" s="617"/>
      <c r="BO14" s="617"/>
      <c r="BP14" s="617"/>
      <c r="BQ14" s="617"/>
      <c r="BR14" s="617"/>
      <c r="BS14" s="617"/>
      <c r="BT14" s="617"/>
      <c r="BU14" s="617"/>
      <c r="BV14" s="617"/>
      <c r="BW14" s="617"/>
      <c r="BX14" s="617"/>
      <c r="BY14" s="617"/>
      <c r="BZ14" s="617"/>
      <c r="CA14" s="617"/>
      <c r="CB14" s="617"/>
      <c r="CC14" s="617"/>
      <c r="CD14" s="617"/>
      <c r="CE14" s="617"/>
      <c r="CF14" s="617"/>
      <c r="CG14" s="617"/>
      <c r="CH14" s="617"/>
      <c r="CI14" s="617"/>
      <c r="CJ14" s="617"/>
      <c r="CK14" s="617"/>
      <c r="CL14" s="617"/>
      <c r="CM14" s="617"/>
      <c r="CN14" s="617"/>
      <c r="CO14" s="617"/>
      <c r="CP14" s="617"/>
      <c r="CQ14" s="617"/>
      <c r="CR14" s="617"/>
      <c r="CS14" s="617"/>
      <c r="CT14" s="617"/>
      <c r="CU14" s="617"/>
      <c r="CV14" s="617"/>
      <c r="CW14" s="617"/>
      <c r="CX14" s="617"/>
      <c r="CY14" s="617"/>
      <c r="CZ14" s="617"/>
      <c r="DA14" s="617"/>
      <c r="DB14" s="617"/>
      <c r="DC14" s="617"/>
      <c r="DD14" s="617"/>
      <c r="DE14" s="617"/>
      <c r="DF14" s="617"/>
      <c r="DG14" s="617"/>
      <c r="DH14" s="617"/>
      <c r="DI14" s="617"/>
      <c r="DJ14" s="617"/>
      <c r="DK14" s="617"/>
      <c r="DL14" s="617"/>
      <c r="DM14" s="617"/>
      <c r="DN14" s="617"/>
      <c r="DO14" s="617"/>
      <c r="DP14" s="617"/>
      <c r="DQ14" s="617"/>
      <c r="DR14" s="617"/>
      <c r="DS14" s="617"/>
      <c r="DT14" s="617"/>
      <c r="DU14" s="617"/>
      <c r="DV14" s="617"/>
      <c r="DW14" s="617"/>
      <c r="DX14" s="617"/>
      <c r="DY14" s="617"/>
      <c r="DZ14" s="617"/>
      <c r="EA14" s="617"/>
      <c r="EB14" s="617"/>
      <c r="EC14" s="617"/>
      <c r="ED14" s="617"/>
      <c r="EE14" s="617"/>
      <c r="EF14" s="617"/>
      <c r="EG14" s="617"/>
      <c r="EH14" s="617"/>
      <c r="EI14" s="617"/>
      <c r="EJ14" s="617"/>
      <c r="EK14" s="617"/>
      <c r="EL14" s="617"/>
      <c r="EM14" s="617"/>
      <c r="EN14" s="617"/>
      <c r="EO14" s="617"/>
      <c r="EP14" s="617"/>
      <c r="EQ14" s="617"/>
      <c r="ER14" s="617"/>
      <c r="ES14" s="617"/>
      <c r="ET14" s="617"/>
      <c r="EU14" s="617"/>
      <c r="EV14" s="617"/>
      <c r="EW14" s="617"/>
      <c r="EX14" s="617"/>
      <c r="EY14" s="617"/>
      <c r="EZ14" s="617"/>
      <c r="FA14" s="617"/>
      <c r="FB14" s="617"/>
      <c r="FC14" s="617"/>
      <c r="FD14" s="617"/>
      <c r="FE14" s="617"/>
      <c r="FF14" s="617"/>
      <c r="FG14" s="617"/>
      <c r="FH14" s="617"/>
      <c r="FI14" s="617"/>
      <c r="FJ14" s="617"/>
      <c r="FK14" s="617"/>
      <c r="FL14" s="617"/>
      <c r="FM14" s="617"/>
      <c r="FN14" s="617"/>
      <c r="FO14" s="617"/>
      <c r="FP14" s="617"/>
      <c r="FQ14" s="617"/>
      <c r="FR14" s="617"/>
      <c r="FS14" s="617"/>
      <c r="FT14" s="617"/>
      <c r="FU14" s="617"/>
      <c r="FV14" s="617"/>
      <c r="FW14" s="617"/>
      <c r="FX14" s="617"/>
      <c r="FY14" s="617"/>
      <c r="FZ14" s="617"/>
      <c r="GA14" s="617"/>
      <c r="GB14" s="617"/>
      <c r="GC14" s="617"/>
      <c r="GD14" s="617"/>
      <c r="GE14" s="617"/>
      <c r="GF14" s="617"/>
      <c r="GG14" s="617"/>
      <c r="GH14" s="617"/>
      <c r="GI14" s="617"/>
      <c r="GJ14" s="617"/>
      <c r="GK14" s="617"/>
      <c r="GL14" s="617"/>
      <c r="GM14" s="617"/>
      <c r="GN14" s="617"/>
      <c r="GO14" s="617"/>
      <c r="GP14" s="617"/>
      <c r="GQ14" s="617"/>
      <c r="GR14" s="617"/>
      <c r="GS14" s="617"/>
      <c r="GT14" s="617"/>
      <c r="GU14" s="617"/>
      <c r="GV14" s="617"/>
      <c r="GW14" s="617"/>
      <c r="GX14" s="617"/>
      <c r="GY14" s="617"/>
      <c r="GZ14" s="617"/>
      <c r="HA14" s="617"/>
      <c r="HB14" s="617"/>
      <c r="HC14" s="617"/>
      <c r="HD14" s="617"/>
      <c r="HE14" s="617"/>
      <c r="HF14" s="617"/>
      <c r="HG14" s="617"/>
      <c r="HH14" s="617"/>
      <c r="HI14" s="617"/>
      <c r="HJ14" s="617"/>
      <c r="HK14" s="617"/>
      <c r="HL14" s="617"/>
      <c r="HM14" s="617"/>
      <c r="HN14" s="617"/>
      <c r="HO14" s="617"/>
      <c r="HP14" s="617"/>
      <c r="HQ14" s="617"/>
      <c r="HR14" s="617"/>
      <c r="HS14" s="617"/>
      <c r="HT14" s="617"/>
      <c r="HU14" s="617"/>
      <c r="HV14" s="617"/>
      <c r="HW14" s="617"/>
      <c r="HX14" s="617"/>
      <c r="HY14" s="617"/>
      <c r="HZ14" s="617"/>
      <c r="IA14" s="617"/>
      <c r="IB14" s="617"/>
      <c r="IC14" s="617"/>
      <c r="ID14" s="617"/>
      <c r="IE14" s="617"/>
      <c r="IF14" s="617"/>
      <c r="IG14" s="617"/>
      <c r="IH14" s="617"/>
      <c r="II14" s="617"/>
      <c r="IJ14" s="617"/>
      <c r="IK14" s="617"/>
      <c r="IL14" s="617"/>
      <c r="IM14" s="617"/>
      <c r="IN14" s="617"/>
      <c r="IO14" s="617"/>
      <c r="IP14" s="617"/>
      <c r="IQ14" s="617"/>
      <c r="IR14" s="617"/>
      <c r="IS14" s="617"/>
      <c r="IT14" s="617"/>
      <c r="IU14" s="617"/>
      <c r="IV14" s="617"/>
      <c r="IW14" s="617"/>
      <c r="IX14" s="617"/>
      <c r="IY14" s="617"/>
      <c r="IZ14" s="617"/>
      <c r="JA14" s="617"/>
      <c r="JB14" s="617"/>
      <c r="JC14" s="617"/>
      <c r="JD14" s="617"/>
      <c r="JE14" s="617"/>
      <c r="JF14" s="617"/>
      <c r="JG14" s="617"/>
      <c r="JH14" s="617"/>
      <c r="JI14" s="617"/>
      <c r="JJ14" s="617"/>
      <c r="JK14" s="617"/>
      <c r="JL14" s="617"/>
      <c r="JM14" s="617"/>
      <c r="JN14" s="617"/>
      <c r="JO14" s="617"/>
      <c r="JP14" s="617"/>
      <c r="JQ14" s="617"/>
      <c r="JR14" s="617"/>
      <c r="JS14" s="617"/>
      <c r="JT14" s="617"/>
      <c r="JU14" s="617"/>
      <c r="JV14" s="617"/>
      <c r="JW14" s="617"/>
      <c r="JX14" s="617"/>
      <c r="JY14" s="617"/>
      <c r="JZ14" s="617"/>
      <c r="KA14" s="617"/>
      <c r="KB14" s="617"/>
      <c r="KC14" s="617"/>
      <c r="KD14" s="617"/>
      <c r="KE14" s="617"/>
      <c r="KF14" s="617"/>
      <c r="KG14" s="617"/>
      <c r="KH14" s="617"/>
      <c r="KI14" s="617"/>
      <c r="KJ14" s="617"/>
      <c r="KK14" s="617"/>
      <c r="KL14" s="617"/>
      <c r="KM14" s="617"/>
      <c r="KN14" s="617"/>
      <c r="KO14" s="617"/>
      <c r="KP14" s="617"/>
      <c r="KQ14" s="617"/>
      <c r="KR14" s="617"/>
      <c r="KS14" s="617"/>
      <c r="KT14" s="617"/>
      <c r="KU14" s="617"/>
      <c r="KV14" s="617"/>
      <c r="KW14" s="617"/>
      <c r="KX14" s="617"/>
      <c r="KY14" s="617"/>
      <c r="KZ14" s="617"/>
      <c r="LA14" s="617"/>
      <c r="LB14" s="617"/>
      <c r="LC14" s="617"/>
      <c r="LD14" s="617"/>
      <c r="LE14" s="617"/>
      <c r="LF14" s="617"/>
      <c r="LG14" s="617"/>
      <c r="LH14" s="617"/>
      <c r="LI14" s="617"/>
      <c r="LJ14" s="617"/>
      <c r="LK14" s="617"/>
      <c r="LL14" s="617"/>
      <c r="LM14" s="617"/>
      <c r="LN14" s="617"/>
      <c r="LO14" s="617"/>
      <c r="LP14" s="617"/>
      <c r="LQ14" s="617"/>
      <c r="LR14" s="617"/>
      <c r="LS14" s="617"/>
      <c r="LT14" s="617"/>
      <c r="LU14" s="617"/>
      <c r="LV14" s="617"/>
      <c r="LW14" s="617"/>
      <c r="LX14" s="617"/>
      <c r="LY14" s="617"/>
      <c r="LZ14" s="617"/>
      <c r="MA14" s="617"/>
      <c r="MB14" s="617"/>
      <c r="MC14" s="617"/>
      <c r="MD14" s="617"/>
      <c r="ME14" s="617"/>
      <c r="MF14" s="617"/>
      <c r="MG14" s="617"/>
      <c r="MH14" s="617"/>
      <c r="MI14" s="617"/>
      <c r="MJ14" s="617"/>
      <c r="MK14" s="617"/>
      <c r="ML14" s="617"/>
      <c r="MM14" s="617"/>
      <c r="MN14" s="617"/>
      <c r="MO14" s="617"/>
      <c r="MP14" s="617"/>
      <c r="MQ14" s="617"/>
      <c r="MR14" s="617"/>
      <c r="MS14" s="617"/>
      <c r="MT14" s="617"/>
      <c r="MU14" s="617"/>
      <c r="MV14" s="617"/>
      <c r="MW14" s="617"/>
      <c r="MX14" s="617"/>
      <c r="MY14" s="617"/>
      <c r="MZ14" s="617"/>
      <c r="NA14" s="617"/>
      <c r="NB14" s="617"/>
      <c r="NC14" s="617"/>
      <c r="ND14" s="617"/>
      <c r="NE14" s="617"/>
      <c r="NF14" s="617"/>
      <c r="NG14" s="617"/>
      <c r="NH14" s="617"/>
      <c r="NI14" s="617"/>
      <c r="NJ14" s="617"/>
      <c r="NK14" s="617"/>
      <c r="NL14" s="617"/>
      <c r="NM14" s="617"/>
      <c r="NN14" s="617"/>
      <c r="NO14" s="617"/>
      <c r="NP14" s="617"/>
      <c r="NQ14" s="617"/>
      <c r="NR14" s="617"/>
      <c r="NS14" s="617"/>
      <c r="NT14" s="617"/>
      <c r="NU14" s="617"/>
      <c r="NV14" s="617"/>
      <c r="NW14" s="617"/>
      <c r="NX14" s="617"/>
      <c r="NY14" s="617"/>
      <c r="NZ14" s="617"/>
      <c r="OA14" s="617"/>
      <c r="OB14" s="617"/>
      <c r="OC14" s="617"/>
      <c r="OD14" s="617"/>
      <c r="OE14" s="617"/>
      <c r="OF14" s="617"/>
      <c r="OG14" s="617"/>
      <c r="OH14" s="617"/>
      <c r="OI14" s="617"/>
      <c r="OJ14" s="617"/>
      <c r="OK14" s="617"/>
      <c r="OL14" s="617"/>
      <c r="OM14" s="617"/>
      <c r="ON14" s="617"/>
      <c r="OO14" s="617"/>
      <c r="OP14" s="617"/>
      <c r="OQ14" s="617"/>
      <c r="OR14" s="617"/>
      <c r="OS14" s="617"/>
      <c r="OT14" s="617"/>
      <c r="OU14" s="617"/>
      <c r="OV14" s="617"/>
      <c r="OW14" s="617"/>
      <c r="OX14" s="617"/>
      <c r="OY14" s="617"/>
      <c r="OZ14" s="617"/>
      <c r="PA14" s="617"/>
      <c r="PB14" s="617"/>
      <c r="PC14" s="617"/>
      <c r="PD14" s="617"/>
    </row>
    <row r="15" spans="1:420" s="621" customFormat="1" ht="13.8" x14ac:dyDescent="0.3">
      <c r="A15" s="619">
        <v>1</v>
      </c>
      <c r="B15" s="166"/>
      <c r="C15" s="187" t="s">
        <v>1653</v>
      </c>
      <c r="D15" s="190">
        <f ca="1">TODAY()-3</f>
        <v>46046</v>
      </c>
      <c r="E15" s="191">
        <v>14</v>
      </c>
      <c r="F15" s="190">
        <f t="shared" ref="F15:F78" ca="1" si="0">IF(E15&lt;&gt;"",D15-1+INT(E15),"")</f>
        <v>46059</v>
      </c>
      <c r="G15" s="192" t="s">
        <v>2287</v>
      </c>
      <c r="H15" s="193">
        <f t="shared" ref="H15:H78" ca="1" si="1">IFERROR(
IF(J15=1,100%,
IF(F15&lt;&gt;"",
IF(F15&gt;TODAY(),
IF((TODAY()-D15)/(F15-D15)&gt;0,(TODAY()-D15)/(F15-D15),0),0%),"")),0)</f>
        <v>0.23076923076923078</v>
      </c>
      <c r="I15" s="194"/>
      <c r="J15" s="195">
        <v>3</v>
      </c>
      <c r="K15" s="196">
        <v>4</v>
      </c>
      <c r="L15" s="620" t="s">
        <v>226</v>
      </c>
    </row>
    <row r="16" spans="1:420" s="621" customFormat="1" ht="13.8" x14ac:dyDescent="0.3">
      <c r="A16" s="622">
        <v>2</v>
      </c>
      <c r="B16" s="166"/>
      <c r="C16" s="187"/>
      <c r="D16" s="197"/>
      <c r="E16" s="198"/>
      <c r="F16" s="190" t="str">
        <f t="shared" si="0"/>
        <v/>
      </c>
      <c r="G16" s="192"/>
      <c r="H16" s="193" t="str">
        <f t="shared" ca="1" si="1"/>
        <v/>
      </c>
      <c r="I16" s="195"/>
      <c r="J16" s="195"/>
      <c r="K16" s="196"/>
      <c r="L16" s="620" t="s">
        <v>226</v>
      </c>
    </row>
    <row r="17" spans="1:12" s="621" customFormat="1" ht="13.8" x14ac:dyDescent="0.3">
      <c r="A17" s="622">
        <v>3</v>
      </c>
      <c r="B17" s="166"/>
      <c r="C17" s="188"/>
      <c r="D17" s="197"/>
      <c r="E17" s="198"/>
      <c r="F17" s="190" t="str">
        <f t="shared" si="0"/>
        <v/>
      </c>
      <c r="G17" s="192"/>
      <c r="H17" s="193" t="str">
        <f t="shared" ca="1" si="1"/>
        <v/>
      </c>
      <c r="I17" s="195"/>
      <c r="J17" s="195" t="str">
        <f t="shared" ref="J17:J80" si="2">IF(K17&lt;&gt;0,3,"")</f>
        <v/>
      </c>
      <c r="K17" s="199"/>
      <c r="L17" s="620" t="s">
        <v>226</v>
      </c>
    </row>
    <row r="18" spans="1:12" s="621" customFormat="1" ht="13.8" x14ac:dyDescent="0.3">
      <c r="A18" s="622">
        <v>4</v>
      </c>
      <c r="B18" s="166"/>
      <c r="C18" s="188"/>
      <c r="D18" s="197"/>
      <c r="E18" s="198"/>
      <c r="F18" s="190" t="str">
        <f t="shared" si="0"/>
        <v/>
      </c>
      <c r="G18" s="192"/>
      <c r="H18" s="193" t="str">
        <f t="shared" ca="1" si="1"/>
        <v/>
      </c>
      <c r="I18" s="195"/>
      <c r="J18" s="195" t="str">
        <f t="shared" si="2"/>
        <v/>
      </c>
      <c r="K18" s="199"/>
      <c r="L18" s="620" t="s">
        <v>226</v>
      </c>
    </row>
    <row r="19" spans="1:12" s="621" customFormat="1" ht="13.8" x14ac:dyDescent="0.3">
      <c r="A19" s="622">
        <v>5</v>
      </c>
      <c r="B19" s="166"/>
      <c r="C19" s="188"/>
      <c r="D19" s="190"/>
      <c r="E19" s="191"/>
      <c r="F19" s="190" t="str">
        <f t="shared" si="0"/>
        <v/>
      </c>
      <c r="G19" s="192"/>
      <c r="H19" s="193" t="str">
        <f t="shared" ca="1" si="1"/>
        <v/>
      </c>
      <c r="I19" s="195"/>
      <c r="J19" s="195" t="str">
        <f t="shared" si="2"/>
        <v/>
      </c>
      <c r="K19" s="199"/>
      <c r="L19" s="620" t="s">
        <v>226</v>
      </c>
    </row>
    <row r="20" spans="1:12" s="621" customFormat="1" ht="13.8" x14ac:dyDescent="0.3">
      <c r="A20" s="622">
        <v>6</v>
      </c>
      <c r="B20" s="166"/>
      <c r="C20" s="188"/>
      <c r="D20" s="190"/>
      <c r="E20" s="191"/>
      <c r="F20" s="190" t="str">
        <f t="shared" si="0"/>
        <v/>
      </c>
      <c r="G20" s="192"/>
      <c r="H20" s="193" t="str">
        <f t="shared" ca="1" si="1"/>
        <v/>
      </c>
      <c r="I20" s="195"/>
      <c r="J20" s="195" t="str">
        <f t="shared" si="2"/>
        <v/>
      </c>
      <c r="K20" s="199"/>
      <c r="L20" s="620" t="s">
        <v>226</v>
      </c>
    </row>
    <row r="21" spans="1:12" s="621" customFormat="1" ht="13.8" x14ac:dyDescent="0.3">
      <c r="A21" s="622">
        <v>7</v>
      </c>
      <c r="B21" s="166"/>
      <c r="C21" s="188"/>
      <c r="D21" s="190"/>
      <c r="E21" s="191"/>
      <c r="F21" s="190" t="str">
        <f t="shared" si="0"/>
        <v/>
      </c>
      <c r="G21" s="192"/>
      <c r="H21" s="193" t="str">
        <f t="shared" ca="1" si="1"/>
        <v/>
      </c>
      <c r="I21" s="195"/>
      <c r="J21" s="195" t="str">
        <f t="shared" si="2"/>
        <v/>
      </c>
      <c r="K21" s="199"/>
      <c r="L21" s="620" t="s">
        <v>226</v>
      </c>
    </row>
    <row r="22" spans="1:12" s="621" customFormat="1" ht="13.8" x14ac:dyDescent="0.3">
      <c r="A22" s="622">
        <v>8</v>
      </c>
      <c r="B22" s="166"/>
      <c r="C22" s="188"/>
      <c r="D22" s="190"/>
      <c r="E22" s="191"/>
      <c r="F22" s="190" t="str">
        <f t="shared" si="0"/>
        <v/>
      </c>
      <c r="G22" s="192"/>
      <c r="H22" s="193" t="str">
        <f t="shared" ca="1" si="1"/>
        <v/>
      </c>
      <c r="I22" s="195"/>
      <c r="J22" s="195" t="str">
        <f t="shared" si="2"/>
        <v/>
      </c>
      <c r="K22" s="199"/>
      <c r="L22" s="620" t="s">
        <v>226</v>
      </c>
    </row>
    <row r="23" spans="1:12" s="621" customFormat="1" ht="13.8" x14ac:dyDescent="0.3">
      <c r="A23" s="622">
        <v>9</v>
      </c>
      <c r="B23" s="166"/>
      <c r="C23" s="188"/>
      <c r="D23" s="190"/>
      <c r="E23" s="191"/>
      <c r="F23" s="190" t="str">
        <f t="shared" si="0"/>
        <v/>
      </c>
      <c r="G23" s="192"/>
      <c r="H23" s="193" t="str">
        <f t="shared" ca="1" si="1"/>
        <v/>
      </c>
      <c r="I23" s="195"/>
      <c r="J23" s="195" t="str">
        <f t="shared" si="2"/>
        <v/>
      </c>
      <c r="K23" s="199"/>
      <c r="L23" s="620" t="s">
        <v>226</v>
      </c>
    </row>
    <row r="24" spans="1:12" s="621" customFormat="1" ht="13.8" x14ac:dyDescent="0.3">
      <c r="A24" s="622">
        <v>10</v>
      </c>
      <c r="B24" s="166"/>
      <c r="C24" s="188"/>
      <c r="D24" s="190"/>
      <c r="E24" s="191"/>
      <c r="F24" s="190" t="str">
        <f t="shared" si="0"/>
        <v/>
      </c>
      <c r="G24" s="192"/>
      <c r="H24" s="193" t="str">
        <f t="shared" ca="1" si="1"/>
        <v/>
      </c>
      <c r="I24" s="195"/>
      <c r="J24" s="195" t="str">
        <f t="shared" si="2"/>
        <v/>
      </c>
      <c r="K24" s="199"/>
      <c r="L24" s="620" t="s">
        <v>226</v>
      </c>
    </row>
    <row r="25" spans="1:12" s="621" customFormat="1" ht="13.8" x14ac:dyDescent="0.3">
      <c r="A25" s="622">
        <v>11</v>
      </c>
      <c r="B25" s="166"/>
      <c r="C25" s="188"/>
      <c r="D25" s="197"/>
      <c r="E25" s="198"/>
      <c r="F25" s="190" t="str">
        <f t="shared" si="0"/>
        <v/>
      </c>
      <c r="G25" s="192"/>
      <c r="H25" s="193" t="str">
        <f t="shared" ca="1" si="1"/>
        <v/>
      </c>
      <c r="I25" s="195"/>
      <c r="J25" s="195" t="str">
        <f t="shared" si="2"/>
        <v/>
      </c>
      <c r="K25" s="199"/>
      <c r="L25" s="620" t="s">
        <v>226</v>
      </c>
    </row>
    <row r="26" spans="1:12" s="621" customFormat="1" ht="13.8" x14ac:dyDescent="0.3">
      <c r="A26" s="622">
        <v>12</v>
      </c>
      <c r="B26" s="166"/>
      <c r="C26" s="188"/>
      <c r="D26" s="190"/>
      <c r="E26" s="191"/>
      <c r="F26" s="190" t="str">
        <f t="shared" si="0"/>
        <v/>
      </c>
      <c r="G26" s="192"/>
      <c r="H26" s="193" t="str">
        <f t="shared" ca="1" si="1"/>
        <v/>
      </c>
      <c r="I26" s="195"/>
      <c r="J26" s="195" t="str">
        <f t="shared" si="2"/>
        <v/>
      </c>
      <c r="K26" s="199"/>
      <c r="L26" s="620" t="s">
        <v>226</v>
      </c>
    </row>
    <row r="27" spans="1:12" s="621" customFormat="1" ht="13.8" x14ac:dyDescent="0.3">
      <c r="A27" s="622">
        <v>13</v>
      </c>
      <c r="B27" s="166"/>
      <c r="C27" s="188"/>
      <c r="D27" s="190"/>
      <c r="E27" s="191"/>
      <c r="F27" s="190" t="str">
        <f t="shared" si="0"/>
        <v/>
      </c>
      <c r="G27" s="192"/>
      <c r="H27" s="193" t="str">
        <f t="shared" ca="1" si="1"/>
        <v/>
      </c>
      <c r="I27" s="195"/>
      <c r="J27" s="195" t="str">
        <f t="shared" si="2"/>
        <v/>
      </c>
      <c r="K27" s="199"/>
      <c r="L27" s="620" t="s">
        <v>226</v>
      </c>
    </row>
    <row r="28" spans="1:12" s="621" customFormat="1" ht="13.8" x14ac:dyDescent="0.3">
      <c r="A28" s="622">
        <v>14</v>
      </c>
      <c r="B28" s="166"/>
      <c r="C28" s="188"/>
      <c r="D28" s="190"/>
      <c r="E28" s="191"/>
      <c r="F28" s="190" t="str">
        <f t="shared" si="0"/>
        <v/>
      </c>
      <c r="G28" s="192"/>
      <c r="H28" s="193" t="str">
        <f t="shared" ca="1" si="1"/>
        <v/>
      </c>
      <c r="I28" s="195"/>
      <c r="J28" s="195" t="str">
        <f t="shared" si="2"/>
        <v/>
      </c>
      <c r="K28" s="199"/>
      <c r="L28" s="620" t="s">
        <v>226</v>
      </c>
    </row>
    <row r="29" spans="1:12" s="621" customFormat="1" ht="13.8" x14ac:dyDescent="0.3">
      <c r="A29" s="622">
        <v>15</v>
      </c>
      <c r="B29" s="166"/>
      <c r="C29" s="188"/>
      <c r="D29" s="190"/>
      <c r="E29" s="191"/>
      <c r="F29" s="190" t="str">
        <f t="shared" si="0"/>
        <v/>
      </c>
      <c r="G29" s="192"/>
      <c r="H29" s="193" t="str">
        <f t="shared" ca="1" si="1"/>
        <v/>
      </c>
      <c r="I29" s="195"/>
      <c r="J29" s="195" t="str">
        <f t="shared" si="2"/>
        <v/>
      </c>
      <c r="K29" s="199"/>
      <c r="L29" s="620" t="s">
        <v>226</v>
      </c>
    </row>
    <row r="30" spans="1:12" s="621" customFormat="1" ht="13.8" x14ac:dyDescent="0.3">
      <c r="A30" s="622">
        <v>16</v>
      </c>
      <c r="B30" s="166"/>
      <c r="C30" s="188"/>
      <c r="D30" s="190"/>
      <c r="E30" s="191"/>
      <c r="F30" s="190" t="str">
        <f t="shared" si="0"/>
        <v/>
      </c>
      <c r="G30" s="192"/>
      <c r="H30" s="193" t="str">
        <f t="shared" ca="1" si="1"/>
        <v/>
      </c>
      <c r="I30" s="195"/>
      <c r="J30" s="195" t="str">
        <f t="shared" si="2"/>
        <v/>
      </c>
      <c r="K30" s="199"/>
      <c r="L30" s="620" t="s">
        <v>226</v>
      </c>
    </row>
    <row r="31" spans="1:12" s="621" customFormat="1" ht="13.8" x14ac:dyDescent="0.3">
      <c r="A31" s="622">
        <v>17</v>
      </c>
      <c r="B31" s="166"/>
      <c r="C31" s="188"/>
      <c r="D31" s="190"/>
      <c r="E31" s="191"/>
      <c r="F31" s="190" t="str">
        <f t="shared" si="0"/>
        <v/>
      </c>
      <c r="G31" s="192"/>
      <c r="H31" s="193" t="str">
        <f t="shared" ca="1" si="1"/>
        <v/>
      </c>
      <c r="I31" s="195"/>
      <c r="J31" s="195" t="str">
        <f t="shared" si="2"/>
        <v/>
      </c>
      <c r="K31" s="199"/>
      <c r="L31" s="620" t="s">
        <v>226</v>
      </c>
    </row>
    <row r="32" spans="1:12" s="621" customFormat="1" ht="13.8" x14ac:dyDescent="0.3">
      <c r="A32" s="622">
        <v>18</v>
      </c>
      <c r="B32" s="166"/>
      <c r="C32" s="188"/>
      <c r="D32" s="190"/>
      <c r="E32" s="191"/>
      <c r="F32" s="190" t="str">
        <f t="shared" si="0"/>
        <v/>
      </c>
      <c r="G32" s="192"/>
      <c r="H32" s="193" t="str">
        <f t="shared" ca="1" si="1"/>
        <v/>
      </c>
      <c r="I32" s="195"/>
      <c r="J32" s="195" t="str">
        <f t="shared" si="2"/>
        <v/>
      </c>
      <c r="K32" s="199"/>
      <c r="L32" s="620" t="s">
        <v>226</v>
      </c>
    </row>
    <row r="33" spans="1:12" s="621" customFormat="1" ht="13.8" x14ac:dyDescent="0.3">
      <c r="A33" s="622">
        <v>19</v>
      </c>
      <c r="B33" s="166"/>
      <c r="C33" s="188"/>
      <c r="D33" s="190"/>
      <c r="E33" s="191"/>
      <c r="F33" s="190" t="str">
        <f t="shared" si="0"/>
        <v/>
      </c>
      <c r="G33" s="192"/>
      <c r="H33" s="193" t="str">
        <f t="shared" ca="1" si="1"/>
        <v/>
      </c>
      <c r="I33" s="195"/>
      <c r="J33" s="195" t="str">
        <f t="shared" si="2"/>
        <v/>
      </c>
      <c r="K33" s="199"/>
      <c r="L33" s="620" t="s">
        <v>226</v>
      </c>
    </row>
    <row r="34" spans="1:12" s="621" customFormat="1" ht="13.8" x14ac:dyDescent="0.3">
      <c r="A34" s="622">
        <v>20</v>
      </c>
      <c r="B34" s="166"/>
      <c r="C34" s="188"/>
      <c r="D34" s="190"/>
      <c r="E34" s="191"/>
      <c r="F34" s="190" t="str">
        <f t="shared" si="0"/>
        <v/>
      </c>
      <c r="G34" s="192"/>
      <c r="H34" s="193" t="str">
        <f t="shared" ca="1" si="1"/>
        <v/>
      </c>
      <c r="I34" s="195"/>
      <c r="J34" s="195" t="str">
        <f t="shared" si="2"/>
        <v/>
      </c>
      <c r="K34" s="199"/>
      <c r="L34" s="620" t="s">
        <v>226</v>
      </c>
    </row>
    <row r="35" spans="1:12" s="621" customFormat="1" ht="13.8" x14ac:dyDescent="0.3">
      <c r="A35" s="622">
        <v>21</v>
      </c>
      <c r="B35" s="166"/>
      <c r="C35" s="188"/>
      <c r="D35" s="190"/>
      <c r="E35" s="191"/>
      <c r="F35" s="190" t="str">
        <f t="shared" si="0"/>
        <v/>
      </c>
      <c r="G35" s="192"/>
      <c r="H35" s="193" t="str">
        <f t="shared" ca="1" si="1"/>
        <v/>
      </c>
      <c r="I35" s="195"/>
      <c r="J35" s="195" t="str">
        <f t="shared" si="2"/>
        <v/>
      </c>
      <c r="K35" s="199"/>
      <c r="L35" s="620" t="s">
        <v>226</v>
      </c>
    </row>
    <row r="36" spans="1:12" s="621" customFormat="1" ht="13.8" x14ac:dyDescent="0.3">
      <c r="A36" s="622">
        <v>22</v>
      </c>
      <c r="B36" s="166"/>
      <c r="C36" s="188"/>
      <c r="D36" s="190"/>
      <c r="E36" s="191"/>
      <c r="F36" s="190" t="str">
        <f t="shared" si="0"/>
        <v/>
      </c>
      <c r="G36" s="192"/>
      <c r="H36" s="193" t="str">
        <f t="shared" ca="1" si="1"/>
        <v/>
      </c>
      <c r="I36" s="195"/>
      <c r="J36" s="195" t="str">
        <f t="shared" si="2"/>
        <v/>
      </c>
      <c r="K36" s="199"/>
      <c r="L36" s="620" t="s">
        <v>226</v>
      </c>
    </row>
    <row r="37" spans="1:12" s="621" customFormat="1" ht="13.8" x14ac:dyDescent="0.3">
      <c r="A37" s="622">
        <v>23</v>
      </c>
      <c r="B37" s="166"/>
      <c r="C37" s="188"/>
      <c r="D37" s="190"/>
      <c r="E37" s="191"/>
      <c r="F37" s="190" t="str">
        <f t="shared" si="0"/>
        <v/>
      </c>
      <c r="G37" s="192"/>
      <c r="H37" s="193" t="str">
        <f t="shared" ca="1" si="1"/>
        <v/>
      </c>
      <c r="I37" s="195"/>
      <c r="J37" s="195" t="str">
        <f t="shared" si="2"/>
        <v/>
      </c>
      <c r="K37" s="199"/>
      <c r="L37" s="620" t="s">
        <v>226</v>
      </c>
    </row>
    <row r="38" spans="1:12" s="621" customFormat="1" ht="13.8" x14ac:dyDescent="0.3">
      <c r="A38" s="622">
        <v>24</v>
      </c>
      <c r="B38" s="166"/>
      <c r="C38" s="188"/>
      <c r="D38" s="190"/>
      <c r="E38" s="191"/>
      <c r="F38" s="190" t="str">
        <f t="shared" si="0"/>
        <v/>
      </c>
      <c r="G38" s="192"/>
      <c r="H38" s="193" t="str">
        <f t="shared" ca="1" si="1"/>
        <v/>
      </c>
      <c r="I38" s="195"/>
      <c r="J38" s="195" t="str">
        <f t="shared" si="2"/>
        <v/>
      </c>
      <c r="K38" s="199"/>
      <c r="L38" s="620" t="s">
        <v>226</v>
      </c>
    </row>
    <row r="39" spans="1:12" s="621" customFormat="1" ht="13.8" x14ac:dyDescent="0.3">
      <c r="A39" s="622">
        <v>25</v>
      </c>
      <c r="B39" s="166"/>
      <c r="C39" s="188"/>
      <c r="D39" s="190"/>
      <c r="E39" s="191"/>
      <c r="F39" s="190" t="str">
        <f t="shared" si="0"/>
        <v/>
      </c>
      <c r="G39" s="192"/>
      <c r="H39" s="193" t="str">
        <f t="shared" ca="1" si="1"/>
        <v/>
      </c>
      <c r="I39" s="195"/>
      <c r="J39" s="195" t="str">
        <f t="shared" si="2"/>
        <v/>
      </c>
      <c r="K39" s="199"/>
      <c r="L39" s="620" t="s">
        <v>226</v>
      </c>
    </row>
    <row r="40" spans="1:12" s="621" customFormat="1" ht="13.8" x14ac:dyDescent="0.3">
      <c r="A40" s="622">
        <v>26</v>
      </c>
      <c r="B40" s="166"/>
      <c r="C40" s="188"/>
      <c r="D40" s="190"/>
      <c r="E40" s="191"/>
      <c r="F40" s="190" t="str">
        <f t="shared" si="0"/>
        <v/>
      </c>
      <c r="G40" s="192"/>
      <c r="H40" s="193" t="str">
        <f t="shared" ca="1" si="1"/>
        <v/>
      </c>
      <c r="I40" s="195"/>
      <c r="J40" s="195" t="str">
        <f t="shared" si="2"/>
        <v/>
      </c>
      <c r="K40" s="199"/>
      <c r="L40" s="620" t="s">
        <v>226</v>
      </c>
    </row>
    <row r="41" spans="1:12" s="621" customFormat="1" ht="13.8" x14ac:dyDescent="0.3">
      <c r="A41" s="622">
        <v>27</v>
      </c>
      <c r="B41" s="166"/>
      <c r="C41" s="188"/>
      <c r="D41" s="190"/>
      <c r="E41" s="191"/>
      <c r="F41" s="190" t="str">
        <f t="shared" si="0"/>
        <v/>
      </c>
      <c r="G41" s="192"/>
      <c r="H41" s="193" t="str">
        <f t="shared" ca="1" si="1"/>
        <v/>
      </c>
      <c r="I41" s="195"/>
      <c r="J41" s="195" t="str">
        <f t="shared" si="2"/>
        <v/>
      </c>
      <c r="K41" s="199"/>
      <c r="L41" s="620" t="s">
        <v>226</v>
      </c>
    </row>
    <row r="42" spans="1:12" s="621" customFormat="1" ht="13.8" x14ac:dyDescent="0.3">
      <c r="A42" s="622">
        <v>28</v>
      </c>
      <c r="B42" s="166"/>
      <c r="C42" s="188"/>
      <c r="D42" s="190"/>
      <c r="E42" s="191"/>
      <c r="F42" s="190" t="str">
        <f t="shared" si="0"/>
        <v/>
      </c>
      <c r="G42" s="192"/>
      <c r="H42" s="193" t="str">
        <f t="shared" ca="1" si="1"/>
        <v/>
      </c>
      <c r="I42" s="195"/>
      <c r="J42" s="195" t="str">
        <f t="shared" si="2"/>
        <v/>
      </c>
      <c r="K42" s="199"/>
      <c r="L42" s="620" t="s">
        <v>226</v>
      </c>
    </row>
    <row r="43" spans="1:12" s="621" customFormat="1" ht="13.8" x14ac:dyDescent="0.3">
      <c r="A43" s="622">
        <v>29</v>
      </c>
      <c r="B43" s="166"/>
      <c r="C43" s="188"/>
      <c r="D43" s="190"/>
      <c r="E43" s="191"/>
      <c r="F43" s="190" t="str">
        <f t="shared" si="0"/>
        <v/>
      </c>
      <c r="G43" s="192"/>
      <c r="H43" s="193" t="str">
        <f t="shared" ca="1" si="1"/>
        <v/>
      </c>
      <c r="I43" s="195"/>
      <c r="J43" s="195" t="str">
        <f t="shared" si="2"/>
        <v/>
      </c>
      <c r="K43" s="199"/>
      <c r="L43" s="620" t="s">
        <v>226</v>
      </c>
    </row>
    <row r="44" spans="1:12" s="621" customFormat="1" ht="13.8" x14ac:dyDescent="0.3">
      <c r="A44" s="622">
        <v>30</v>
      </c>
      <c r="B44" s="166"/>
      <c r="C44" s="188"/>
      <c r="D44" s="190"/>
      <c r="E44" s="191"/>
      <c r="F44" s="190" t="str">
        <f t="shared" si="0"/>
        <v/>
      </c>
      <c r="G44" s="192"/>
      <c r="H44" s="193" t="str">
        <f t="shared" ca="1" si="1"/>
        <v/>
      </c>
      <c r="I44" s="195"/>
      <c r="J44" s="195" t="str">
        <f t="shared" si="2"/>
        <v/>
      </c>
      <c r="K44" s="199"/>
      <c r="L44" s="620" t="s">
        <v>226</v>
      </c>
    </row>
    <row r="45" spans="1:12" s="621" customFormat="1" ht="13.8" x14ac:dyDescent="0.3">
      <c r="A45" s="622">
        <v>31</v>
      </c>
      <c r="B45" s="166"/>
      <c r="C45" s="188"/>
      <c r="D45" s="190"/>
      <c r="E45" s="191"/>
      <c r="F45" s="190" t="str">
        <f t="shared" si="0"/>
        <v/>
      </c>
      <c r="G45" s="192"/>
      <c r="H45" s="193" t="str">
        <f t="shared" ca="1" si="1"/>
        <v/>
      </c>
      <c r="I45" s="195"/>
      <c r="J45" s="195" t="str">
        <f t="shared" si="2"/>
        <v/>
      </c>
      <c r="K45" s="199"/>
      <c r="L45" s="620" t="s">
        <v>226</v>
      </c>
    </row>
    <row r="46" spans="1:12" s="621" customFormat="1" ht="13.8" x14ac:dyDescent="0.3">
      <c r="A46" s="622">
        <v>32</v>
      </c>
      <c r="B46" s="166"/>
      <c r="C46" s="188"/>
      <c r="D46" s="190"/>
      <c r="E46" s="191"/>
      <c r="F46" s="190" t="str">
        <f t="shared" si="0"/>
        <v/>
      </c>
      <c r="G46" s="192"/>
      <c r="H46" s="193" t="str">
        <f t="shared" ca="1" si="1"/>
        <v/>
      </c>
      <c r="I46" s="195"/>
      <c r="J46" s="195" t="str">
        <f t="shared" si="2"/>
        <v/>
      </c>
      <c r="K46" s="199"/>
      <c r="L46" s="620" t="s">
        <v>226</v>
      </c>
    </row>
    <row r="47" spans="1:12" s="621" customFormat="1" ht="13.8" x14ac:dyDescent="0.3">
      <c r="A47" s="622">
        <v>33</v>
      </c>
      <c r="B47" s="166"/>
      <c r="C47" s="188"/>
      <c r="D47" s="190"/>
      <c r="E47" s="191"/>
      <c r="F47" s="190" t="str">
        <f t="shared" si="0"/>
        <v/>
      </c>
      <c r="G47" s="192"/>
      <c r="H47" s="193" t="str">
        <f t="shared" ca="1" si="1"/>
        <v/>
      </c>
      <c r="I47" s="195"/>
      <c r="J47" s="195" t="str">
        <f t="shared" si="2"/>
        <v/>
      </c>
      <c r="K47" s="199"/>
      <c r="L47" s="620" t="s">
        <v>226</v>
      </c>
    </row>
    <row r="48" spans="1:12" s="621" customFormat="1" ht="13.8" x14ac:dyDescent="0.3">
      <c r="A48" s="622">
        <v>34</v>
      </c>
      <c r="B48" s="166"/>
      <c r="C48" s="188"/>
      <c r="D48" s="190"/>
      <c r="E48" s="191"/>
      <c r="F48" s="190" t="str">
        <f t="shared" si="0"/>
        <v/>
      </c>
      <c r="G48" s="192"/>
      <c r="H48" s="193" t="str">
        <f t="shared" ca="1" si="1"/>
        <v/>
      </c>
      <c r="I48" s="195"/>
      <c r="J48" s="195" t="str">
        <f t="shared" si="2"/>
        <v/>
      </c>
      <c r="K48" s="199"/>
      <c r="L48" s="620" t="s">
        <v>226</v>
      </c>
    </row>
    <row r="49" spans="1:12" s="621" customFormat="1" ht="13.8" x14ac:dyDescent="0.3">
      <c r="A49" s="622">
        <v>35</v>
      </c>
      <c r="B49" s="166"/>
      <c r="C49" s="188"/>
      <c r="D49" s="190"/>
      <c r="E49" s="191"/>
      <c r="F49" s="190" t="str">
        <f t="shared" si="0"/>
        <v/>
      </c>
      <c r="G49" s="192"/>
      <c r="H49" s="193" t="str">
        <f t="shared" ca="1" si="1"/>
        <v/>
      </c>
      <c r="I49" s="195"/>
      <c r="J49" s="195" t="str">
        <f t="shared" si="2"/>
        <v/>
      </c>
      <c r="K49" s="199"/>
      <c r="L49" s="620" t="s">
        <v>226</v>
      </c>
    </row>
    <row r="50" spans="1:12" s="621" customFormat="1" ht="13.8" x14ac:dyDescent="0.3">
      <c r="A50" s="622">
        <v>36</v>
      </c>
      <c r="B50" s="166"/>
      <c r="C50" s="188"/>
      <c r="D50" s="190"/>
      <c r="E50" s="191"/>
      <c r="F50" s="190" t="str">
        <f t="shared" si="0"/>
        <v/>
      </c>
      <c r="G50" s="192"/>
      <c r="H50" s="193" t="str">
        <f t="shared" ca="1" si="1"/>
        <v/>
      </c>
      <c r="I50" s="195"/>
      <c r="J50" s="195" t="str">
        <f t="shared" si="2"/>
        <v/>
      </c>
      <c r="K50" s="199"/>
      <c r="L50" s="620" t="s">
        <v>226</v>
      </c>
    </row>
    <row r="51" spans="1:12" s="621" customFormat="1" ht="13.8" x14ac:dyDescent="0.3">
      <c r="A51" s="622">
        <v>37</v>
      </c>
      <c r="B51" s="166"/>
      <c r="C51" s="188"/>
      <c r="D51" s="190"/>
      <c r="E51" s="191"/>
      <c r="F51" s="190" t="str">
        <f t="shared" si="0"/>
        <v/>
      </c>
      <c r="G51" s="192"/>
      <c r="H51" s="193" t="str">
        <f t="shared" ca="1" si="1"/>
        <v/>
      </c>
      <c r="I51" s="195"/>
      <c r="J51" s="195" t="str">
        <f t="shared" si="2"/>
        <v/>
      </c>
      <c r="K51" s="199"/>
      <c r="L51" s="620" t="s">
        <v>226</v>
      </c>
    </row>
    <row r="52" spans="1:12" s="621" customFormat="1" ht="13.8" x14ac:dyDescent="0.3">
      <c r="A52" s="622">
        <v>38</v>
      </c>
      <c r="B52" s="166"/>
      <c r="C52" s="188"/>
      <c r="D52" s="190"/>
      <c r="E52" s="191"/>
      <c r="F52" s="190" t="str">
        <f t="shared" si="0"/>
        <v/>
      </c>
      <c r="G52" s="192"/>
      <c r="H52" s="193" t="str">
        <f t="shared" ca="1" si="1"/>
        <v/>
      </c>
      <c r="I52" s="195"/>
      <c r="J52" s="195" t="str">
        <f t="shared" si="2"/>
        <v/>
      </c>
      <c r="K52" s="199"/>
      <c r="L52" s="620" t="s">
        <v>226</v>
      </c>
    </row>
    <row r="53" spans="1:12" s="621" customFormat="1" ht="13.8" x14ac:dyDescent="0.3">
      <c r="A53" s="622">
        <v>39</v>
      </c>
      <c r="B53" s="166"/>
      <c r="C53" s="188"/>
      <c r="D53" s="190"/>
      <c r="E53" s="191"/>
      <c r="F53" s="190" t="str">
        <f t="shared" si="0"/>
        <v/>
      </c>
      <c r="G53" s="192"/>
      <c r="H53" s="193" t="str">
        <f t="shared" ca="1" si="1"/>
        <v/>
      </c>
      <c r="I53" s="195"/>
      <c r="J53" s="195" t="str">
        <f t="shared" si="2"/>
        <v/>
      </c>
      <c r="K53" s="199"/>
      <c r="L53" s="620" t="s">
        <v>226</v>
      </c>
    </row>
    <row r="54" spans="1:12" s="621" customFormat="1" ht="13.8" x14ac:dyDescent="0.3">
      <c r="A54" s="622">
        <v>40</v>
      </c>
      <c r="B54" s="166"/>
      <c r="C54" s="188"/>
      <c r="D54" s="190"/>
      <c r="E54" s="191"/>
      <c r="F54" s="190" t="str">
        <f t="shared" si="0"/>
        <v/>
      </c>
      <c r="G54" s="192"/>
      <c r="H54" s="193" t="str">
        <f t="shared" ca="1" si="1"/>
        <v/>
      </c>
      <c r="I54" s="195"/>
      <c r="J54" s="195" t="str">
        <f t="shared" si="2"/>
        <v/>
      </c>
      <c r="K54" s="199"/>
      <c r="L54" s="620" t="s">
        <v>226</v>
      </c>
    </row>
    <row r="55" spans="1:12" s="621" customFormat="1" ht="13.8" x14ac:dyDescent="0.3">
      <c r="A55" s="622">
        <v>41</v>
      </c>
      <c r="B55" s="166"/>
      <c r="C55" s="188"/>
      <c r="D55" s="190"/>
      <c r="E55" s="191"/>
      <c r="F55" s="190" t="str">
        <f t="shared" si="0"/>
        <v/>
      </c>
      <c r="G55" s="192"/>
      <c r="H55" s="193" t="str">
        <f t="shared" ca="1" si="1"/>
        <v/>
      </c>
      <c r="I55" s="195"/>
      <c r="J55" s="195" t="str">
        <f t="shared" si="2"/>
        <v/>
      </c>
      <c r="K55" s="199"/>
      <c r="L55" s="620" t="s">
        <v>226</v>
      </c>
    </row>
    <row r="56" spans="1:12" s="621" customFormat="1" ht="13.8" x14ac:dyDescent="0.3">
      <c r="A56" s="622">
        <v>42</v>
      </c>
      <c r="B56" s="166"/>
      <c r="C56" s="188"/>
      <c r="D56" s="190"/>
      <c r="E56" s="191"/>
      <c r="F56" s="190" t="str">
        <f t="shared" si="0"/>
        <v/>
      </c>
      <c r="G56" s="192"/>
      <c r="H56" s="193" t="str">
        <f t="shared" ca="1" si="1"/>
        <v/>
      </c>
      <c r="I56" s="195"/>
      <c r="J56" s="195" t="str">
        <f t="shared" si="2"/>
        <v/>
      </c>
      <c r="K56" s="199"/>
      <c r="L56" s="620" t="s">
        <v>226</v>
      </c>
    </row>
    <row r="57" spans="1:12" s="621" customFormat="1" ht="13.8" x14ac:dyDescent="0.3">
      <c r="A57" s="622">
        <v>43</v>
      </c>
      <c r="B57" s="166"/>
      <c r="C57" s="188"/>
      <c r="D57" s="190"/>
      <c r="E57" s="191"/>
      <c r="F57" s="190" t="str">
        <f t="shared" si="0"/>
        <v/>
      </c>
      <c r="G57" s="192"/>
      <c r="H57" s="193" t="str">
        <f t="shared" ca="1" si="1"/>
        <v/>
      </c>
      <c r="I57" s="195"/>
      <c r="J57" s="195" t="str">
        <f t="shared" si="2"/>
        <v/>
      </c>
      <c r="K57" s="199"/>
      <c r="L57" s="620" t="s">
        <v>226</v>
      </c>
    </row>
    <row r="58" spans="1:12" s="621" customFormat="1" ht="13.8" x14ac:dyDescent="0.3">
      <c r="A58" s="622">
        <v>44</v>
      </c>
      <c r="B58" s="166"/>
      <c r="C58" s="188"/>
      <c r="D58" s="190"/>
      <c r="E58" s="191"/>
      <c r="F58" s="190" t="str">
        <f t="shared" si="0"/>
        <v/>
      </c>
      <c r="G58" s="192"/>
      <c r="H58" s="193" t="str">
        <f t="shared" ca="1" si="1"/>
        <v/>
      </c>
      <c r="I58" s="195"/>
      <c r="J58" s="195" t="str">
        <f t="shared" si="2"/>
        <v/>
      </c>
      <c r="K58" s="199"/>
      <c r="L58" s="620" t="s">
        <v>226</v>
      </c>
    </row>
    <row r="59" spans="1:12" s="621" customFormat="1" ht="13.8" x14ac:dyDescent="0.3">
      <c r="A59" s="622">
        <v>45</v>
      </c>
      <c r="B59" s="166"/>
      <c r="C59" s="188"/>
      <c r="D59" s="190"/>
      <c r="E59" s="191"/>
      <c r="F59" s="190" t="str">
        <f t="shared" si="0"/>
        <v/>
      </c>
      <c r="G59" s="192"/>
      <c r="H59" s="193" t="str">
        <f t="shared" ca="1" si="1"/>
        <v/>
      </c>
      <c r="I59" s="195"/>
      <c r="J59" s="195" t="str">
        <f t="shared" si="2"/>
        <v/>
      </c>
      <c r="K59" s="199"/>
      <c r="L59" s="620" t="s">
        <v>226</v>
      </c>
    </row>
    <row r="60" spans="1:12" s="621" customFormat="1" ht="13.8" x14ac:dyDescent="0.3">
      <c r="A60" s="622">
        <v>46</v>
      </c>
      <c r="B60" s="166"/>
      <c r="C60" s="188"/>
      <c r="D60" s="190"/>
      <c r="E60" s="191"/>
      <c r="F60" s="190" t="str">
        <f t="shared" si="0"/>
        <v/>
      </c>
      <c r="G60" s="192"/>
      <c r="H60" s="193" t="str">
        <f t="shared" ca="1" si="1"/>
        <v/>
      </c>
      <c r="I60" s="195"/>
      <c r="J60" s="195" t="str">
        <f t="shared" si="2"/>
        <v/>
      </c>
      <c r="K60" s="199"/>
      <c r="L60" s="620" t="s">
        <v>226</v>
      </c>
    </row>
    <row r="61" spans="1:12" s="621" customFormat="1" ht="13.8" x14ac:dyDescent="0.3">
      <c r="A61" s="622">
        <v>47</v>
      </c>
      <c r="B61" s="166"/>
      <c r="C61" s="188"/>
      <c r="D61" s="190"/>
      <c r="E61" s="191"/>
      <c r="F61" s="190" t="str">
        <f t="shared" si="0"/>
        <v/>
      </c>
      <c r="G61" s="192"/>
      <c r="H61" s="193" t="str">
        <f t="shared" ca="1" si="1"/>
        <v/>
      </c>
      <c r="I61" s="195"/>
      <c r="J61" s="195" t="str">
        <f t="shared" si="2"/>
        <v/>
      </c>
      <c r="K61" s="199"/>
      <c r="L61" s="620" t="s">
        <v>226</v>
      </c>
    </row>
    <row r="62" spans="1:12" s="621" customFormat="1" ht="13.8" x14ac:dyDescent="0.3">
      <c r="A62" s="622">
        <v>48</v>
      </c>
      <c r="B62" s="166"/>
      <c r="C62" s="188"/>
      <c r="D62" s="190"/>
      <c r="E62" s="191"/>
      <c r="F62" s="190" t="str">
        <f t="shared" si="0"/>
        <v/>
      </c>
      <c r="G62" s="192"/>
      <c r="H62" s="193" t="str">
        <f t="shared" ca="1" si="1"/>
        <v/>
      </c>
      <c r="I62" s="195"/>
      <c r="J62" s="195" t="str">
        <f t="shared" si="2"/>
        <v/>
      </c>
      <c r="K62" s="199"/>
      <c r="L62" s="620" t="s">
        <v>226</v>
      </c>
    </row>
    <row r="63" spans="1:12" s="621" customFormat="1" ht="13.8" x14ac:dyDescent="0.3">
      <c r="A63" s="622">
        <v>49</v>
      </c>
      <c r="B63" s="166"/>
      <c r="C63" s="188"/>
      <c r="D63" s="190"/>
      <c r="E63" s="191"/>
      <c r="F63" s="190" t="str">
        <f t="shared" si="0"/>
        <v/>
      </c>
      <c r="G63" s="192"/>
      <c r="H63" s="193" t="str">
        <f t="shared" ca="1" si="1"/>
        <v/>
      </c>
      <c r="I63" s="195"/>
      <c r="J63" s="195" t="str">
        <f t="shared" si="2"/>
        <v/>
      </c>
      <c r="K63" s="199"/>
      <c r="L63" s="620" t="s">
        <v>226</v>
      </c>
    </row>
    <row r="64" spans="1:12" s="621" customFormat="1" ht="13.8" x14ac:dyDescent="0.3">
      <c r="A64" s="622">
        <v>50</v>
      </c>
      <c r="B64" s="166"/>
      <c r="C64" s="188"/>
      <c r="D64" s="190"/>
      <c r="E64" s="191"/>
      <c r="F64" s="190" t="str">
        <f t="shared" si="0"/>
        <v/>
      </c>
      <c r="G64" s="192"/>
      <c r="H64" s="193" t="str">
        <f t="shared" ca="1" si="1"/>
        <v/>
      </c>
      <c r="I64" s="195"/>
      <c r="J64" s="195" t="str">
        <f t="shared" si="2"/>
        <v/>
      </c>
      <c r="K64" s="199"/>
      <c r="L64" s="620" t="s">
        <v>226</v>
      </c>
    </row>
    <row r="65" spans="1:12" s="621" customFormat="1" ht="13.8" x14ac:dyDescent="0.3">
      <c r="A65" s="622">
        <v>51</v>
      </c>
      <c r="B65" s="166"/>
      <c r="C65" s="188"/>
      <c r="D65" s="190"/>
      <c r="E65" s="191"/>
      <c r="F65" s="190" t="str">
        <f t="shared" si="0"/>
        <v/>
      </c>
      <c r="G65" s="192"/>
      <c r="H65" s="193" t="str">
        <f t="shared" ca="1" si="1"/>
        <v/>
      </c>
      <c r="I65" s="195"/>
      <c r="J65" s="195" t="str">
        <f t="shared" si="2"/>
        <v/>
      </c>
      <c r="K65" s="199"/>
      <c r="L65" s="620" t="s">
        <v>226</v>
      </c>
    </row>
    <row r="66" spans="1:12" s="621" customFormat="1" ht="13.8" x14ac:dyDescent="0.3">
      <c r="A66" s="622">
        <v>52</v>
      </c>
      <c r="B66" s="166"/>
      <c r="C66" s="188"/>
      <c r="D66" s="190"/>
      <c r="E66" s="191"/>
      <c r="F66" s="190" t="str">
        <f t="shared" si="0"/>
        <v/>
      </c>
      <c r="G66" s="192"/>
      <c r="H66" s="193" t="str">
        <f t="shared" ca="1" si="1"/>
        <v/>
      </c>
      <c r="I66" s="195"/>
      <c r="J66" s="195" t="str">
        <f t="shared" si="2"/>
        <v/>
      </c>
      <c r="K66" s="199"/>
      <c r="L66" s="620" t="s">
        <v>226</v>
      </c>
    </row>
    <row r="67" spans="1:12" s="621" customFormat="1" ht="13.8" x14ac:dyDescent="0.3">
      <c r="A67" s="622">
        <v>53</v>
      </c>
      <c r="B67" s="166"/>
      <c r="C67" s="188"/>
      <c r="D67" s="190"/>
      <c r="E67" s="191"/>
      <c r="F67" s="190" t="str">
        <f t="shared" si="0"/>
        <v/>
      </c>
      <c r="G67" s="192"/>
      <c r="H67" s="193" t="str">
        <f t="shared" ca="1" si="1"/>
        <v/>
      </c>
      <c r="I67" s="195"/>
      <c r="J67" s="195" t="str">
        <f t="shared" si="2"/>
        <v/>
      </c>
      <c r="K67" s="199"/>
      <c r="L67" s="620" t="s">
        <v>226</v>
      </c>
    </row>
    <row r="68" spans="1:12" s="621" customFormat="1" ht="13.8" x14ac:dyDescent="0.3">
      <c r="A68" s="622">
        <v>54</v>
      </c>
      <c r="B68" s="166"/>
      <c r="C68" s="188"/>
      <c r="D68" s="190"/>
      <c r="E68" s="191"/>
      <c r="F68" s="190" t="str">
        <f t="shared" si="0"/>
        <v/>
      </c>
      <c r="G68" s="192"/>
      <c r="H68" s="193" t="str">
        <f t="shared" ca="1" si="1"/>
        <v/>
      </c>
      <c r="I68" s="195"/>
      <c r="J68" s="195" t="str">
        <f t="shared" si="2"/>
        <v/>
      </c>
      <c r="K68" s="199"/>
      <c r="L68" s="620" t="s">
        <v>226</v>
      </c>
    </row>
    <row r="69" spans="1:12" s="621" customFormat="1" ht="13.8" x14ac:dyDescent="0.3">
      <c r="A69" s="622">
        <v>55</v>
      </c>
      <c r="B69" s="166"/>
      <c r="C69" s="188"/>
      <c r="D69" s="190"/>
      <c r="E69" s="191"/>
      <c r="F69" s="190" t="str">
        <f t="shared" si="0"/>
        <v/>
      </c>
      <c r="G69" s="192"/>
      <c r="H69" s="193" t="str">
        <f t="shared" ca="1" si="1"/>
        <v/>
      </c>
      <c r="I69" s="195"/>
      <c r="J69" s="195" t="str">
        <f t="shared" si="2"/>
        <v/>
      </c>
      <c r="K69" s="199"/>
      <c r="L69" s="620" t="s">
        <v>226</v>
      </c>
    </row>
    <row r="70" spans="1:12" s="621" customFormat="1" ht="13.8" x14ac:dyDescent="0.3">
      <c r="A70" s="622">
        <v>56</v>
      </c>
      <c r="B70" s="166"/>
      <c r="C70" s="188"/>
      <c r="D70" s="190"/>
      <c r="E70" s="191"/>
      <c r="F70" s="190" t="str">
        <f t="shared" si="0"/>
        <v/>
      </c>
      <c r="G70" s="192"/>
      <c r="H70" s="193" t="str">
        <f t="shared" ca="1" si="1"/>
        <v/>
      </c>
      <c r="I70" s="195"/>
      <c r="J70" s="195" t="str">
        <f t="shared" si="2"/>
        <v/>
      </c>
      <c r="K70" s="199"/>
      <c r="L70" s="620" t="s">
        <v>226</v>
      </c>
    </row>
    <row r="71" spans="1:12" s="621" customFormat="1" ht="13.8" x14ac:dyDescent="0.3">
      <c r="A71" s="622">
        <v>57</v>
      </c>
      <c r="B71" s="166"/>
      <c r="C71" s="188"/>
      <c r="D71" s="190"/>
      <c r="E71" s="191"/>
      <c r="F71" s="190" t="str">
        <f t="shared" si="0"/>
        <v/>
      </c>
      <c r="G71" s="192"/>
      <c r="H71" s="193" t="str">
        <f t="shared" ca="1" si="1"/>
        <v/>
      </c>
      <c r="I71" s="195"/>
      <c r="J71" s="195" t="str">
        <f t="shared" si="2"/>
        <v/>
      </c>
      <c r="K71" s="199"/>
      <c r="L71" s="620" t="s">
        <v>226</v>
      </c>
    </row>
    <row r="72" spans="1:12" s="621" customFormat="1" ht="13.8" x14ac:dyDescent="0.3">
      <c r="A72" s="622">
        <v>58</v>
      </c>
      <c r="B72" s="166"/>
      <c r="C72" s="188"/>
      <c r="D72" s="190"/>
      <c r="E72" s="191"/>
      <c r="F72" s="190" t="str">
        <f t="shared" si="0"/>
        <v/>
      </c>
      <c r="G72" s="192"/>
      <c r="H72" s="193" t="str">
        <f t="shared" ca="1" si="1"/>
        <v/>
      </c>
      <c r="I72" s="195"/>
      <c r="J72" s="195" t="str">
        <f t="shared" si="2"/>
        <v/>
      </c>
      <c r="K72" s="199"/>
      <c r="L72" s="620" t="s">
        <v>226</v>
      </c>
    </row>
    <row r="73" spans="1:12" s="621" customFormat="1" ht="13.8" x14ac:dyDescent="0.3">
      <c r="A73" s="622">
        <v>59</v>
      </c>
      <c r="B73" s="166"/>
      <c r="C73" s="188"/>
      <c r="D73" s="190"/>
      <c r="E73" s="191"/>
      <c r="F73" s="190" t="str">
        <f t="shared" si="0"/>
        <v/>
      </c>
      <c r="G73" s="192"/>
      <c r="H73" s="193" t="str">
        <f t="shared" ca="1" si="1"/>
        <v/>
      </c>
      <c r="I73" s="195"/>
      <c r="J73" s="195" t="str">
        <f t="shared" si="2"/>
        <v/>
      </c>
      <c r="K73" s="199"/>
      <c r="L73" s="620" t="s">
        <v>226</v>
      </c>
    </row>
    <row r="74" spans="1:12" s="621" customFormat="1" ht="13.8" x14ac:dyDescent="0.3">
      <c r="A74" s="622">
        <v>60</v>
      </c>
      <c r="B74" s="166"/>
      <c r="C74" s="188"/>
      <c r="D74" s="190"/>
      <c r="E74" s="191"/>
      <c r="F74" s="190" t="str">
        <f t="shared" si="0"/>
        <v/>
      </c>
      <c r="G74" s="192"/>
      <c r="H74" s="193" t="str">
        <f t="shared" ca="1" si="1"/>
        <v/>
      </c>
      <c r="I74" s="195"/>
      <c r="J74" s="195" t="str">
        <f t="shared" si="2"/>
        <v/>
      </c>
      <c r="K74" s="199"/>
      <c r="L74" s="620" t="s">
        <v>226</v>
      </c>
    </row>
    <row r="75" spans="1:12" s="621" customFormat="1" ht="13.8" x14ac:dyDescent="0.3">
      <c r="A75" s="622">
        <v>61</v>
      </c>
      <c r="B75" s="166"/>
      <c r="C75" s="188"/>
      <c r="D75" s="190"/>
      <c r="E75" s="191"/>
      <c r="F75" s="190" t="str">
        <f t="shared" si="0"/>
        <v/>
      </c>
      <c r="G75" s="192"/>
      <c r="H75" s="193" t="str">
        <f t="shared" ca="1" si="1"/>
        <v/>
      </c>
      <c r="I75" s="195"/>
      <c r="J75" s="195" t="str">
        <f t="shared" si="2"/>
        <v/>
      </c>
      <c r="K75" s="199"/>
      <c r="L75" s="620" t="s">
        <v>226</v>
      </c>
    </row>
    <row r="76" spans="1:12" s="621" customFormat="1" ht="13.8" x14ac:dyDescent="0.3">
      <c r="A76" s="622">
        <v>62</v>
      </c>
      <c r="B76" s="166"/>
      <c r="C76" s="188"/>
      <c r="D76" s="190"/>
      <c r="E76" s="191"/>
      <c r="F76" s="190" t="str">
        <f t="shared" si="0"/>
        <v/>
      </c>
      <c r="G76" s="192"/>
      <c r="H76" s="193" t="str">
        <f t="shared" ca="1" si="1"/>
        <v/>
      </c>
      <c r="I76" s="195"/>
      <c r="J76" s="195" t="str">
        <f t="shared" si="2"/>
        <v/>
      </c>
      <c r="K76" s="199"/>
      <c r="L76" s="620" t="s">
        <v>226</v>
      </c>
    </row>
    <row r="77" spans="1:12" s="621" customFormat="1" ht="13.8" x14ac:dyDescent="0.3">
      <c r="A77" s="622">
        <v>63</v>
      </c>
      <c r="B77" s="166"/>
      <c r="C77" s="188"/>
      <c r="D77" s="190"/>
      <c r="E77" s="191"/>
      <c r="F77" s="190" t="str">
        <f t="shared" si="0"/>
        <v/>
      </c>
      <c r="G77" s="192"/>
      <c r="H77" s="193" t="str">
        <f t="shared" ca="1" si="1"/>
        <v/>
      </c>
      <c r="I77" s="195"/>
      <c r="J77" s="195" t="str">
        <f t="shared" si="2"/>
        <v/>
      </c>
      <c r="K77" s="199"/>
      <c r="L77" s="620" t="s">
        <v>226</v>
      </c>
    </row>
    <row r="78" spans="1:12" s="621" customFormat="1" ht="13.8" x14ac:dyDescent="0.3">
      <c r="A78" s="622">
        <v>64</v>
      </c>
      <c r="B78" s="166"/>
      <c r="C78" s="188"/>
      <c r="D78" s="190"/>
      <c r="E78" s="191"/>
      <c r="F78" s="190" t="str">
        <f t="shared" si="0"/>
        <v/>
      </c>
      <c r="G78" s="192"/>
      <c r="H78" s="193" t="str">
        <f t="shared" ca="1" si="1"/>
        <v/>
      </c>
      <c r="I78" s="195"/>
      <c r="J78" s="195" t="str">
        <f t="shared" si="2"/>
        <v/>
      </c>
      <c r="K78" s="199"/>
      <c r="L78" s="620" t="s">
        <v>226</v>
      </c>
    </row>
    <row r="79" spans="1:12" s="621" customFormat="1" ht="13.8" x14ac:dyDescent="0.3">
      <c r="A79" s="622">
        <v>65</v>
      </c>
      <c r="B79" s="166"/>
      <c r="C79" s="188"/>
      <c r="D79" s="190"/>
      <c r="E79" s="191"/>
      <c r="F79" s="190" t="str">
        <f t="shared" ref="F79:F142" si="3">IF(E79&lt;&gt;"",D79-1+INT(E79),"")</f>
        <v/>
      </c>
      <c r="G79" s="192"/>
      <c r="H79" s="193" t="str">
        <f t="shared" ref="H79:H142" ca="1" si="4">IFERROR(
IF(J79=1,100%,
IF(F79&lt;&gt;"",
IF(F79&gt;TODAY(),
IF((TODAY()-D79)/(F79-D79)&gt;0,(TODAY()-D79)/(F79-D79),0),0%),"")),0)</f>
        <v/>
      </c>
      <c r="I79" s="195"/>
      <c r="J79" s="195" t="str">
        <f t="shared" si="2"/>
        <v/>
      </c>
      <c r="K79" s="199"/>
      <c r="L79" s="620" t="s">
        <v>226</v>
      </c>
    </row>
    <row r="80" spans="1:12" s="621" customFormat="1" ht="13.8" x14ac:dyDescent="0.3">
      <c r="A80" s="622">
        <v>66</v>
      </c>
      <c r="B80" s="166"/>
      <c r="C80" s="188"/>
      <c r="D80" s="190"/>
      <c r="E80" s="191"/>
      <c r="F80" s="190" t="str">
        <f t="shared" si="3"/>
        <v/>
      </c>
      <c r="G80" s="192"/>
      <c r="H80" s="193" t="str">
        <f t="shared" ca="1" si="4"/>
        <v/>
      </c>
      <c r="I80" s="195"/>
      <c r="J80" s="195" t="str">
        <f t="shared" si="2"/>
        <v/>
      </c>
      <c r="K80" s="199"/>
      <c r="L80" s="620" t="s">
        <v>226</v>
      </c>
    </row>
    <row r="81" spans="1:12" s="621" customFormat="1" ht="13.8" x14ac:dyDescent="0.3">
      <c r="A81" s="622">
        <v>67</v>
      </c>
      <c r="B81" s="166"/>
      <c r="C81" s="188"/>
      <c r="D81" s="190"/>
      <c r="E81" s="191"/>
      <c r="F81" s="190" t="str">
        <f t="shared" si="3"/>
        <v/>
      </c>
      <c r="G81" s="192"/>
      <c r="H81" s="193" t="str">
        <f t="shared" ca="1" si="4"/>
        <v/>
      </c>
      <c r="I81" s="195"/>
      <c r="J81" s="195" t="str">
        <f t="shared" ref="J81:J144" si="5">IF(K81&lt;&gt;0,3,"")</f>
        <v/>
      </c>
      <c r="K81" s="199"/>
      <c r="L81" s="620" t="s">
        <v>226</v>
      </c>
    </row>
    <row r="82" spans="1:12" s="621" customFormat="1" ht="13.8" x14ac:dyDescent="0.3">
      <c r="A82" s="622">
        <v>68</v>
      </c>
      <c r="B82" s="166"/>
      <c r="C82" s="188"/>
      <c r="D82" s="190"/>
      <c r="E82" s="191"/>
      <c r="F82" s="190" t="str">
        <f t="shared" si="3"/>
        <v/>
      </c>
      <c r="G82" s="192"/>
      <c r="H82" s="193" t="str">
        <f t="shared" ca="1" si="4"/>
        <v/>
      </c>
      <c r="I82" s="195"/>
      <c r="J82" s="195" t="str">
        <f t="shared" si="5"/>
        <v/>
      </c>
      <c r="K82" s="199"/>
      <c r="L82" s="620" t="s">
        <v>226</v>
      </c>
    </row>
    <row r="83" spans="1:12" s="621" customFormat="1" ht="13.8" x14ac:dyDescent="0.3">
      <c r="A83" s="622">
        <v>69</v>
      </c>
      <c r="B83" s="166"/>
      <c r="C83" s="188"/>
      <c r="D83" s="190"/>
      <c r="E83" s="191"/>
      <c r="F83" s="190" t="str">
        <f t="shared" si="3"/>
        <v/>
      </c>
      <c r="G83" s="192"/>
      <c r="H83" s="193" t="str">
        <f t="shared" ca="1" si="4"/>
        <v/>
      </c>
      <c r="I83" s="195"/>
      <c r="J83" s="195" t="str">
        <f t="shared" si="5"/>
        <v/>
      </c>
      <c r="K83" s="199"/>
      <c r="L83" s="620" t="s">
        <v>226</v>
      </c>
    </row>
    <row r="84" spans="1:12" s="621" customFormat="1" ht="13.8" x14ac:dyDescent="0.3">
      <c r="A84" s="622">
        <v>70</v>
      </c>
      <c r="B84" s="166"/>
      <c r="C84" s="188"/>
      <c r="D84" s="190"/>
      <c r="E84" s="191"/>
      <c r="F84" s="190" t="str">
        <f t="shared" si="3"/>
        <v/>
      </c>
      <c r="G84" s="192"/>
      <c r="H84" s="193" t="str">
        <f t="shared" ca="1" si="4"/>
        <v/>
      </c>
      <c r="I84" s="195"/>
      <c r="J84" s="195" t="str">
        <f t="shared" si="5"/>
        <v/>
      </c>
      <c r="K84" s="199"/>
      <c r="L84" s="620" t="s">
        <v>226</v>
      </c>
    </row>
    <row r="85" spans="1:12" s="621" customFormat="1" ht="13.8" x14ac:dyDescent="0.3">
      <c r="A85" s="622">
        <v>71</v>
      </c>
      <c r="B85" s="166"/>
      <c r="C85" s="188"/>
      <c r="D85" s="190"/>
      <c r="E85" s="191"/>
      <c r="F85" s="190" t="str">
        <f t="shared" si="3"/>
        <v/>
      </c>
      <c r="G85" s="192"/>
      <c r="H85" s="193" t="str">
        <f t="shared" ca="1" si="4"/>
        <v/>
      </c>
      <c r="I85" s="195"/>
      <c r="J85" s="195" t="str">
        <f t="shared" si="5"/>
        <v/>
      </c>
      <c r="K85" s="199"/>
      <c r="L85" s="620" t="s">
        <v>226</v>
      </c>
    </row>
    <row r="86" spans="1:12" s="621" customFormat="1" ht="13.8" x14ac:dyDescent="0.3">
      <c r="A86" s="622">
        <v>72</v>
      </c>
      <c r="B86" s="166"/>
      <c r="C86" s="188"/>
      <c r="D86" s="190"/>
      <c r="E86" s="191"/>
      <c r="F86" s="190" t="str">
        <f t="shared" si="3"/>
        <v/>
      </c>
      <c r="G86" s="192"/>
      <c r="H86" s="193" t="str">
        <f t="shared" ca="1" si="4"/>
        <v/>
      </c>
      <c r="I86" s="195"/>
      <c r="J86" s="195" t="str">
        <f t="shared" si="5"/>
        <v/>
      </c>
      <c r="K86" s="199"/>
      <c r="L86" s="620" t="s">
        <v>226</v>
      </c>
    </row>
    <row r="87" spans="1:12" s="621" customFormat="1" ht="13.8" x14ac:dyDescent="0.3">
      <c r="A87" s="622">
        <v>73</v>
      </c>
      <c r="B87" s="166"/>
      <c r="C87" s="188"/>
      <c r="D87" s="190"/>
      <c r="E87" s="191"/>
      <c r="F87" s="190" t="str">
        <f t="shared" si="3"/>
        <v/>
      </c>
      <c r="G87" s="192"/>
      <c r="H87" s="193" t="str">
        <f t="shared" ca="1" si="4"/>
        <v/>
      </c>
      <c r="I87" s="195"/>
      <c r="J87" s="195" t="str">
        <f t="shared" si="5"/>
        <v/>
      </c>
      <c r="K87" s="199"/>
      <c r="L87" s="620" t="s">
        <v>226</v>
      </c>
    </row>
    <row r="88" spans="1:12" s="621" customFormat="1" ht="13.8" x14ac:dyDescent="0.3">
      <c r="A88" s="622">
        <v>74</v>
      </c>
      <c r="B88" s="166"/>
      <c r="C88" s="188"/>
      <c r="D88" s="190"/>
      <c r="E88" s="191"/>
      <c r="F88" s="190" t="str">
        <f t="shared" si="3"/>
        <v/>
      </c>
      <c r="G88" s="192"/>
      <c r="H88" s="193" t="str">
        <f t="shared" ca="1" si="4"/>
        <v/>
      </c>
      <c r="I88" s="195"/>
      <c r="J88" s="195" t="str">
        <f t="shared" si="5"/>
        <v/>
      </c>
      <c r="K88" s="199"/>
      <c r="L88" s="620" t="s">
        <v>226</v>
      </c>
    </row>
    <row r="89" spans="1:12" s="621" customFormat="1" ht="13.8" x14ac:dyDescent="0.3">
      <c r="A89" s="622">
        <v>75</v>
      </c>
      <c r="B89" s="166"/>
      <c r="C89" s="188"/>
      <c r="D89" s="190"/>
      <c r="E89" s="191"/>
      <c r="F89" s="190" t="str">
        <f t="shared" si="3"/>
        <v/>
      </c>
      <c r="G89" s="192"/>
      <c r="H89" s="193" t="str">
        <f t="shared" ca="1" si="4"/>
        <v/>
      </c>
      <c r="I89" s="195"/>
      <c r="J89" s="195" t="str">
        <f t="shared" si="5"/>
        <v/>
      </c>
      <c r="K89" s="199"/>
      <c r="L89" s="620" t="s">
        <v>226</v>
      </c>
    </row>
    <row r="90" spans="1:12" s="621" customFormat="1" ht="13.8" x14ac:dyDescent="0.3">
      <c r="A90" s="622">
        <v>76</v>
      </c>
      <c r="B90" s="166"/>
      <c r="C90" s="188"/>
      <c r="D90" s="190"/>
      <c r="E90" s="191"/>
      <c r="F90" s="190" t="str">
        <f t="shared" si="3"/>
        <v/>
      </c>
      <c r="G90" s="192"/>
      <c r="H90" s="193" t="str">
        <f t="shared" ca="1" si="4"/>
        <v/>
      </c>
      <c r="I90" s="195"/>
      <c r="J90" s="195" t="str">
        <f t="shared" si="5"/>
        <v/>
      </c>
      <c r="K90" s="199"/>
      <c r="L90" s="620" t="s">
        <v>226</v>
      </c>
    </row>
    <row r="91" spans="1:12" s="621" customFormat="1" ht="13.8" x14ac:dyDescent="0.3">
      <c r="A91" s="622">
        <v>77</v>
      </c>
      <c r="B91" s="166"/>
      <c r="C91" s="188"/>
      <c r="D91" s="190"/>
      <c r="E91" s="191"/>
      <c r="F91" s="190" t="str">
        <f t="shared" si="3"/>
        <v/>
      </c>
      <c r="G91" s="192"/>
      <c r="H91" s="193" t="str">
        <f t="shared" ca="1" si="4"/>
        <v/>
      </c>
      <c r="I91" s="195"/>
      <c r="J91" s="195" t="str">
        <f t="shared" si="5"/>
        <v/>
      </c>
      <c r="K91" s="199"/>
      <c r="L91" s="620" t="s">
        <v>226</v>
      </c>
    </row>
    <row r="92" spans="1:12" s="621" customFormat="1" ht="13.8" x14ac:dyDescent="0.3">
      <c r="A92" s="622">
        <v>78</v>
      </c>
      <c r="B92" s="166"/>
      <c r="C92" s="188"/>
      <c r="D92" s="190"/>
      <c r="E92" s="191"/>
      <c r="F92" s="190" t="str">
        <f t="shared" si="3"/>
        <v/>
      </c>
      <c r="G92" s="192"/>
      <c r="H92" s="193" t="str">
        <f t="shared" ca="1" si="4"/>
        <v/>
      </c>
      <c r="I92" s="195"/>
      <c r="J92" s="195" t="str">
        <f t="shared" si="5"/>
        <v/>
      </c>
      <c r="K92" s="199"/>
      <c r="L92" s="620" t="s">
        <v>226</v>
      </c>
    </row>
    <row r="93" spans="1:12" s="621" customFormat="1" ht="13.8" x14ac:dyDescent="0.3">
      <c r="A93" s="622">
        <v>79</v>
      </c>
      <c r="B93" s="166"/>
      <c r="C93" s="188"/>
      <c r="D93" s="190"/>
      <c r="E93" s="191"/>
      <c r="F93" s="190" t="str">
        <f t="shared" si="3"/>
        <v/>
      </c>
      <c r="G93" s="192"/>
      <c r="H93" s="193" t="str">
        <f t="shared" ca="1" si="4"/>
        <v/>
      </c>
      <c r="I93" s="195"/>
      <c r="J93" s="195" t="str">
        <f t="shared" si="5"/>
        <v/>
      </c>
      <c r="K93" s="199"/>
      <c r="L93" s="620" t="s">
        <v>226</v>
      </c>
    </row>
    <row r="94" spans="1:12" s="621" customFormat="1" ht="13.8" x14ac:dyDescent="0.3">
      <c r="A94" s="622">
        <v>80</v>
      </c>
      <c r="B94" s="166"/>
      <c r="C94" s="188"/>
      <c r="D94" s="190"/>
      <c r="E94" s="191"/>
      <c r="F94" s="190" t="str">
        <f t="shared" si="3"/>
        <v/>
      </c>
      <c r="G94" s="192"/>
      <c r="H94" s="193" t="str">
        <f t="shared" ca="1" si="4"/>
        <v/>
      </c>
      <c r="I94" s="195"/>
      <c r="J94" s="195" t="str">
        <f t="shared" si="5"/>
        <v/>
      </c>
      <c r="K94" s="199"/>
      <c r="L94" s="620" t="s">
        <v>226</v>
      </c>
    </row>
    <row r="95" spans="1:12" s="621" customFormat="1" ht="13.8" x14ac:dyDescent="0.3">
      <c r="A95" s="622">
        <v>81</v>
      </c>
      <c r="B95" s="166"/>
      <c r="C95" s="188"/>
      <c r="D95" s="190"/>
      <c r="E95" s="191"/>
      <c r="F95" s="190" t="str">
        <f t="shared" si="3"/>
        <v/>
      </c>
      <c r="G95" s="192"/>
      <c r="H95" s="193" t="str">
        <f t="shared" ca="1" si="4"/>
        <v/>
      </c>
      <c r="I95" s="195"/>
      <c r="J95" s="195" t="str">
        <f t="shared" si="5"/>
        <v/>
      </c>
      <c r="K95" s="199"/>
      <c r="L95" s="620" t="s">
        <v>226</v>
      </c>
    </row>
    <row r="96" spans="1:12" s="621" customFormat="1" ht="13.8" x14ac:dyDescent="0.3">
      <c r="A96" s="622">
        <v>82</v>
      </c>
      <c r="B96" s="166"/>
      <c r="C96" s="188"/>
      <c r="D96" s="190"/>
      <c r="E96" s="191"/>
      <c r="F96" s="190" t="str">
        <f t="shared" si="3"/>
        <v/>
      </c>
      <c r="G96" s="192"/>
      <c r="H96" s="193" t="str">
        <f t="shared" ca="1" si="4"/>
        <v/>
      </c>
      <c r="I96" s="195"/>
      <c r="J96" s="195" t="str">
        <f t="shared" si="5"/>
        <v/>
      </c>
      <c r="K96" s="199"/>
      <c r="L96" s="620" t="s">
        <v>226</v>
      </c>
    </row>
    <row r="97" spans="1:12" s="621" customFormat="1" ht="13.8" x14ac:dyDescent="0.3">
      <c r="A97" s="622">
        <v>83</v>
      </c>
      <c r="B97" s="166"/>
      <c r="C97" s="188"/>
      <c r="D97" s="190"/>
      <c r="E97" s="191"/>
      <c r="F97" s="190" t="str">
        <f t="shared" si="3"/>
        <v/>
      </c>
      <c r="G97" s="192"/>
      <c r="H97" s="193" t="str">
        <f t="shared" ca="1" si="4"/>
        <v/>
      </c>
      <c r="I97" s="195"/>
      <c r="J97" s="195" t="str">
        <f t="shared" si="5"/>
        <v/>
      </c>
      <c r="K97" s="199"/>
      <c r="L97" s="620" t="s">
        <v>226</v>
      </c>
    </row>
    <row r="98" spans="1:12" s="621" customFormat="1" ht="13.8" x14ac:dyDescent="0.3">
      <c r="A98" s="622">
        <v>84</v>
      </c>
      <c r="B98" s="166"/>
      <c r="C98" s="188"/>
      <c r="D98" s="190"/>
      <c r="E98" s="191"/>
      <c r="F98" s="190" t="str">
        <f t="shared" si="3"/>
        <v/>
      </c>
      <c r="G98" s="192"/>
      <c r="H98" s="193" t="str">
        <f t="shared" ca="1" si="4"/>
        <v/>
      </c>
      <c r="I98" s="195"/>
      <c r="J98" s="195" t="str">
        <f t="shared" si="5"/>
        <v/>
      </c>
      <c r="K98" s="199"/>
      <c r="L98" s="620" t="s">
        <v>226</v>
      </c>
    </row>
    <row r="99" spans="1:12" s="621" customFormat="1" ht="13.8" x14ac:dyDescent="0.3">
      <c r="A99" s="622">
        <v>85</v>
      </c>
      <c r="B99" s="166"/>
      <c r="C99" s="188"/>
      <c r="D99" s="190"/>
      <c r="E99" s="191"/>
      <c r="F99" s="190" t="str">
        <f t="shared" si="3"/>
        <v/>
      </c>
      <c r="G99" s="192"/>
      <c r="H99" s="193" t="str">
        <f t="shared" ca="1" si="4"/>
        <v/>
      </c>
      <c r="I99" s="195"/>
      <c r="J99" s="195" t="str">
        <f t="shared" si="5"/>
        <v/>
      </c>
      <c r="K99" s="199"/>
      <c r="L99" s="620" t="s">
        <v>226</v>
      </c>
    </row>
    <row r="100" spans="1:12" s="621" customFormat="1" ht="13.8" x14ac:dyDescent="0.3">
      <c r="A100" s="622">
        <v>86</v>
      </c>
      <c r="B100" s="166"/>
      <c r="C100" s="188"/>
      <c r="D100" s="190"/>
      <c r="E100" s="191"/>
      <c r="F100" s="190" t="str">
        <f t="shared" si="3"/>
        <v/>
      </c>
      <c r="G100" s="192"/>
      <c r="H100" s="193" t="str">
        <f t="shared" ca="1" si="4"/>
        <v/>
      </c>
      <c r="I100" s="195"/>
      <c r="J100" s="195" t="str">
        <f t="shared" si="5"/>
        <v/>
      </c>
      <c r="K100" s="199"/>
      <c r="L100" s="620" t="s">
        <v>226</v>
      </c>
    </row>
    <row r="101" spans="1:12" s="621" customFormat="1" ht="13.8" x14ac:dyDescent="0.3">
      <c r="A101" s="622">
        <v>87</v>
      </c>
      <c r="B101" s="166"/>
      <c r="C101" s="188"/>
      <c r="D101" s="190"/>
      <c r="E101" s="191"/>
      <c r="F101" s="190" t="str">
        <f t="shared" si="3"/>
        <v/>
      </c>
      <c r="G101" s="192"/>
      <c r="H101" s="193" t="str">
        <f t="shared" ca="1" si="4"/>
        <v/>
      </c>
      <c r="I101" s="195"/>
      <c r="J101" s="195" t="str">
        <f t="shared" si="5"/>
        <v/>
      </c>
      <c r="K101" s="199"/>
      <c r="L101" s="620" t="s">
        <v>226</v>
      </c>
    </row>
    <row r="102" spans="1:12" s="621" customFormat="1" ht="13.8" x14ac:dyDescent="0.3">
      <c r="A102" s="622">
        <v>88</v>
      </c>
      <c r="B102" s="166"/>
      <c r="C102" s="188"/>
      <c r="D102" s="190"/>
      <c r="E102" s="191"/>
      <c r="F102" s="190" t="str">
        <f t="shared" si="3"/>
        <v/>
      </c>
      <c r="G102" s="192"/>
      <c r="H102" s="193" t="str">
        <f t="shared" ca="1" si="4"/>
        <v/>
      </c>
      <c r="I102" s="195"/>
      <c r="J102" s="195" t="str">
        <f t="shared" si="5"/>
        <v/>
      </c>
      <c r="K102" s="199"/>
      <c r="L102" s="620" t="s">
        <v>226</v>
      </c>
    </row>
    <row r="103" spans="1:12" s="621" customFormat="1" ht="13.8" x14ac:dyDescent="0.3">
      <c r="A103" s="622">
        <v>89</v>
      </c>
      <c r="B103" s="166"/>
      <c r="C103" s="188"/>
      <c r="D103" s="190"/>
      <c r="E103" s="191"/>
      <c r="F103" s="190" t="str">
        <f t="shared" si="3"/>
        <v/>
      </c>
      <c r="G103" s="192"/>
      <c r="H103" s="193" t="str">
        <f t="shared" ca="1" si="4"/>
        <v/>
      </c>
      <c r="I103" s="195"/>
      <c r="J103" s="195" t="str">
        <f t="shared" si="5"/>
        <v/>
      </c>
      <c r="K103" s="199"/>
      <c r="L103" s="620" t="s">
        <v>226</v>
      </c>
    </row>
    <row r="104" spans="1:12" s="621" customFormat="1" ht="13.8" x14ac:dyDescent="0.3">
      <c r="A104" s="622">
        <v>90</v>
      </c>
      <c r="B104" s="166"/>
      <c r="C104" s="188"/>
      <c r="D104" s="190"/>
      <c r="E104" s="191"/>
      <c r="F104" s="190" t="str">
        <f t="shared" si="3"/>
        <v/>
      </c>
      <c r="G104" s="192"/>
      <c r="H104" s="193" t="str">
        <f t="shared" ca="1" si="4"/>
        <v/>
      </c>
      <c r="I104" s="195"/>
      <c r="J104" s="195" t="str">
        <f t="shared" si="5"/>
        <v/>
      </c>
      <c r="K104" s="199"/>
      <c r="L104" s="620" t="s">
        <v>226</v>
      </c>
    </row>
    <row r="105" spans="1:12" s="621" customFormat="1" ht="13.8" x14ac:dyDescent="0.3">
      <c r="A105" s="622">
        <v>91</v>
      </c>
      <c r="B105" s="166"/>
      <c r="C105" s="188"/>
      <c r="D105" s="190"/>
      <c r="E105" s="191"/>
      <c r="F105" s="190" t="str">
        <f t="shared" si="3"/>
        <v/>
      </c>
      <c r="G105" s="192"/>
      <c r="H105" s="193" t="str">
        <f t="shared" ca="1" si="4"/>
        <v/>
      </c>
      <c r="I105" s="195"/>
      <c r="J105" s="195" t="str">
        <f t="shared" si="5"/>
        <v/>
      </c>
      <c r="K105" s="199"/>
      <c r="L105" s="620" t="s">
        <v>226</v>
      </c>
    </row>
    <row r="106" spans="1:12" s="621" customFormat="1" ht="13.8" x14ac:dyDescent="0.3">
      <c r="A106" s="622">
        <v>92</v>
      </c>
      <c r="B106" s="166"/>
      <c r="C106" s="188"/>
      <c r="D106" s="190"/>
      <c r="E106" s="191"/>
      <c r="F106" s="190" t="str">
        <f t="shared" si="3"/>
        <v/>
      </c>
      <c r="G106" s="192"/>
      <c r="H106" s="193" t="str">
        <f t="shared" ca="1" si="4"/>
        <v/>
      </c>
      <c r="I106" s="195"/>
      <c r="J106" s="195" t="str">
        <f t="shared" si="5"/>
        <v/>
      </c>
      <c r="K106" s="199"/>
      <c r="L106" s="620" t="s">
        <v>226</v>
      </c>
    </row>
    <row r="107" spans="1:12" s="621" customFormat="1" ht="13.8" x14ac:dyDescent="0.3">
      <c r="A107" s="622">
        <v>93</v>
      </c>
      <c r="B107" s="166"/>
      <c r="C107" s="188"/>
      <c r="D107" s="190"/>
      <c r="E107" s="191"/>
      <c r="F107" s="190" t="str">
        <f t="shared" si="3"/>
        <v/>
      </c>
      <c r="G107" s="192"/>
      <c r="H107" s="193" t="str">
        <f t="shared" ca="1" si="4"/>
        <v/>
      </c>
      <c r="I107" s="195"/>
      <c r="J107" s="195" t="str">
        <f t="shared" si="5"/>
        <v/>
      </c>
      <c r="K107" s="199"/>
      <c r="L107" s="620" t="s">
        <v>226</v>
      </c>
    </row>
    <row r="108" spans="1:12" s="621" customFormat="1" ht="13.8" x14ac:dyDescent="0.3">
      <c r="A108" s="622">
        <v>94</v>
      </c>
      <c r="B108" s="166"/>
      <c r="C108" s="188"/>
      <c r="D108" s="190"/>
      <c r="E108" s="191"/>
      <c r="F108" s="190" t="str">
        <f t="shared" si="3"/>
        <v/>
      </c>
      <c r="G108" s="192"/>
      <c r="H108" s="193" t="str">
        <f t="shared" ca="1" si="4"/>
        <v/>
      </c>
      <c r="I108" s="195"/>
      <c r="J108" s="195" t="str">
        <f t="shared" si="5"/>
        <v/>
      </c>
      <c r="K108" s="199"/>
      <c r="L108" s="620" t="s">
        <v>226</v>
      </c>
    </row>
    <row r="109" spans="1:12" s="621" customFormat="1" ht="13.8" x14ac:dyDescent="0.3">
      <c r="A109" s="622">
        <v>95</v>
      </c>
      <c r="B109" s="166"/>
      <c r="C109" s="188"/>
      <c r="D109" s="190"/>
      <c r="E109" s="191"/>
      <c r="F109" s="190" t="str">
        <f t="shared" si="3"/>
        <v/>
      </c>
      <c r="G109" s="192"/>
      <c r="H109" s="193" t="str">
        <f t="shared" ca="1" si="4"/>
        <v/>
      </c>
      <c r="I109" s="195"/>
      <c r="J109" s="195" t="str">
        <f t="shared" si="5"/>
        <v/>
      </c>
      <c r="K109" s="199"/>
      <c r="L109" s="620" t="s">
        <v>226</v>
      </c>
    </row>
    <row r="110" spans="1:12" s="621" customFormat="1" ht="13.8" x14ac:dyDescent="0.3">
      <c r="A110" s="622">
        <v>96</v>
      </c>
      <c r="B110" s="166"/>
      <c r="C110" s="188"/>
      <c r="D110" s="192"/>
      <c r="E110" s="191"/>
      <c r="F110" s="190" t="str">
        <f t="shared" si="3"/>
        <v/>
      </c>
      <c r="G110" s="192"/>
      <c r="H110" s="193" t="str">
        <f t="shared" ca="1" si="4"/>
        <v/>
      </c>
      <c r="I110" s="195"/>
      <c r="J110" s="195" t="str">
        <f t="shared" si="5"/>
        <v/>
      </c>
      <c r="K110" s="199"/>
      <c r="L110" s="620" t="s">
        <v>226</v>
      </c>
    </row>
    <row r="111" spans="1:12" s="621" customFormat="1" ht="13.8" x14ac:dyDescent="0.3">
      <c r="A111" s="622">
        <v>97</v>
      </c>
      <c r="B111" s="166"/>
      <c r="C111" s="188"/>
      <c r="D111" s="190"/>
      <c r="E111" s="191"/>
      <c r="F111" s="190" t="str">
        <f t="shared" si="3"/>
        <v/>
      </c>
      <c r="G111" s="192"/>
      <c r="H111" s="193" t="str">
        <f t="shared" ca="1" si="4"/>
        <v/>
      </c>
      <c r="I111" s="195"/>
      <c r="J111" s="195" t="str">
        <f t="shared" si="5"/>
        <v/>
      </c>
      <c r="K111" s="199"/>
      <c r="L111" s="620" t="s">
        <v>226</v>
      </c>
    </row>
    <row r="112" spans="1:12" s="621" customFormat="1" ht="13.8" x14ac:dyDescent="0.3">
      <c r="A112" s="622">
        <v>98</v>
      </c>
      <c r="B112" s="166"/>
      <c r="C112" s="188"/>
      <c r="D112" s="190"/>
      <c r="E112" s="191"/>
      <c r="F112" s="190" t="str">
        <f t="shared" si="3"/>
        <v/>
      </c>
      <c r="G112" s="192"/>
      <c r="H112" s="193" t="str">
        <f t="shared" ca="1" si="4"/>
        <v/>
      </c>
      <c r="I112" s="195"/>
      <c r="J112" s="195" t="str">
        <f t="shared" si="5"/>
        <v/>
      </c>
      <c r="K112" s="199"/>
      <c r="L112" s="620" t="s">
        <v>226</v>
      </c>
    </row>
    <row r="113" spans="1:12" s="621" customFormat="1" ht="13.8" x14ac:dyDescent="0.3">
      <c r="A113" s="622">
        <v>99</v>
      </c>
      <c r="B113" s="166"/>
      <c r="C113" s="188"/>
      <c r="D113" s="190"/>
      <c r="E113" s="191"/>
      <c r="F113" s="190" t="str">
        <f t="shared" si="3"/>
        <v/>
      </c>
      <c r="G113" s="192"/>
      <c r="H113" s="193" t="str">
        <f t="shared" ca="1" si="4"/>
        <v/>
      </c>
      <c r="I113" s="195"/>
      <c r="J113" s="195" t="str">
        <f t="shared" si="5"/>
        <v/>
      </c>
      <c r="K113" s="199"/>
      <c r="L113" s="620" t="s">
        <v>226</v>
      </c>
    </row>
    <row r="114" spans="1:12" s="621" customFormat="1" ht="13.8" x14ac:dyDescent="0.3">
      <c r="A114" s="622">
        <v>100</v>
      </c>
      <c r="B114" s="166"/>
      <c r="C114" s="188"/>
      <c r="D114" s="190"/>
      <c r="E114" s="191"/>
      <c r="F114" s="190" t="str">
        <f t="shared" si="3"/>
        <v/>
      </c>
      <c r="G114" s="192"/>
      <c r="H114" s="193" t="str">
        <f t="shared" ca="1" si="4"/>
        <v/>
      </c>
      <c r="I114" s="195"/>
      <c r="J114" s="195" t="str">
        <f t="shared" si="5"/>
        <v/>
      </c>
      <c r="K114" s="199"/>
      <c r="L114" s="620" t="s">
        <v>226</v>
      </c>
    </row>
    <row r="115" spans="1:12" s="621" customFormat="1" ht="13.8" x14ac:dyDescent="0.3">
      <c r="A115" s="622">
        <v>101</v>
      </c>
      <c r="B115" s="166"/>
      <c r="C115" s="188"/>
      <c r="D115" s="190"/>
      <c r="E115" s="191"/>
      <c r="F115" s="190" t="str">
        <f t="shared" si="3"/>
        <v/>
      </c>
      <c r="G115" s="192"/>
      <c r="H115" s="193" t="str">
        <f t="shared" ca="1" si="4"/>
        <v/>
      </c>
      <c r="I115" s="195"/>
      <c r="J115" s="195" t="str">
        <f t="shared" si="5"/>
        <v/>
      </c>
      <c r="K115" s="199"/>
      <c r="L115" s="620" t="s">
        <v>226</v>
      </c>
    </row>
    <row r="116" spans="1:12" s="621" customFormat="1" ht="13.8" x14ac:dyDescent="0.3">
      <c r="A116" s="622">
        <v>102</v>
      </c>
      <c r="B116" s="166"/>
      <c r="C116" s="188"/>
      <c r="D116" s="190"/>
      <c r="E116" s="191"/>
      <c r="F116" s="190" t="str">
        <f t="shared" si="3"/>
        <v/>
      </c>
      <c r="G116" s="192"/>
      <c r="H116" s="193" t="str">
        <f t="shared" ca="1" si="4"/>
        <v/>
      </c>
      <c r="I116" s="195"/>
      <c r="J116" s="195" t="str">
        <f t="shared" si="5"/>
        <v/>
      </c>
      <c r="K116" s="199"/>
      <c r="L116" s="620" t="s">
        <v>226</v>
      </c>
    </row>
    <row r="117" spans="1:12" s="621" customFormat="1" ht="13.8" x14ac:dyDescent="0.3">
      <c r="A117" s="622">
        <v>103</v>
      </c>
      <c r="B117" s="166"/>
      <c r="C117" s="188"/>
      <c r="D117" s="190"/>
      <c r="E117" s="191"/>
      <c r="F117" s="190" t="str">
        <f t="shared" si="3"/>
        <v/>
      </c>
      <c r="G117" s="192"/>
      <c r="H117" s="193" t="str">
        <f t="shared" ca="1" si="4"/>
        <v/>
      </c>
      <c r="I117" s="195"/>
      <c r="J117" s="195" t="str">
        <f t="shared" si="5"/>
        <v/>
      </c>
      <c r="K117" s="199"/>
      <c r="L117" s="620" t="s">
        <v>226</v>
      </c>
    </row>
    <row r="118" spans="1:12" s="621" customFormat="1" ht="13.8" x14ac:dyDescent="0.3">
      <c r="A118" s="622">
        <v>104</v>
      </c>
      <c r="B118" s="166"/>
      <c r="C118" s="188"/>
      <c r="D118" s="200"/>
      <c r="E118" s="191"/>
      <c r="F118" s="190" t="str">
        <f t="shared" si="3"/>
        <v/>
      </c>
      <c r="G118" s="192"/>
      <c r="H118" s="193" t="str">
        <f t="shared" ca="1" si="4"/>
        <v/>
      </c>
      <c r="I118" s="195"/>
      <c r="J118" s="195" t="str">
        <f t="shared" si="5"/>
        <v/>
      </c>
      <c r="K118" s="199"/>
      <c r="L118" s="620" t="s">
        <v>226</v>
      </c>
    </row>
    <row r="119" spans="1:12" s="621" customFormat="1" ht="13.8" x14ac:dyDescent="0.3">
      <c r="A119" s="622">
        <v>105</v>
      </c>
      <c r="B119" s="166"/>
      <c r="C119" s="188"/>
      <c r="D119" s="190"/>
      <c r="E119" s="191"/>
      <c r="F119" s="190" t="str">
        <f t="shared" si="3"/>
        <v/>
      </c>
      <c r="G119" s="192"/>
      <c r="H119" s="193" t="str">
        <f t="shared" ca="1" si="4"/>
        <v/>
      </c>
      <c r="I119" s="195"/>
      <c r="J119" s="195" t="str">
        <f t="shared" si="5"/>
        <v/>
      </c>
      <c r="K119" s="199"/>
      <c r="L119" s="620" t="s">
        <v>226</v>
      </c>
    </row>
    <row r="120" spans="1:12" s="621" customFormat="1" ht="13.8" x14ac:dyDescent="0.3">
      <c r="A120" s="622">
        <v>106</v>
      </c>
      <c r="B120" s="166"/>
      <c r="C120" s="188"/>
      <c r="D120" s="190"/>
      <c r="E120" s="191"/>
      <c r="F120" s="190" t="str">
        <f t="shared" si="3"/>
        <v/>
      </c>
      <c r="G120" s="192"/>
      <c r="H120" s="193" t="str">
        <f t="shared" ca="1" si="4"/>
        <v/>
      </c>
      <c r="I120" s="195"/>
      <c r="J120" s="195" t="str">
        <f t="shared" si="5"/>
        <v/>
      </c>
      <c r="K120" s="199"/>
      <c r="L120" s="620" t="s">
        <v>226</v>
      </c>
    </row>
    <row r="121" spans="1:12" s="621" customFormat="1" ht="13.8" x14ac:dyDescent="0.3">
      <c r="A121" s="622">
        <v>107</v>
      </c>
      <c r="B121" s="166"/>
      <c r="C121" s="188"/>
      <c r="D121" s="190"/>
      <c r="E121" s="191"/>
      <c r="F121" s="190" t="str">
        <f t="shared" si="3"/>
        <v/>
      </c>
      <c r="G121" s="192"/>
      <c r="H121" s="193" t="str">
        <f t="shared" ca="1" si="4"/>
        <v/>
      </c>
      <c r="I121" s="195"/>
      <c r="J121" s="195" t="str">
        <f t="shared" si="5"/>
        <v/>
      </c>
      <c r="K121" s="199"/>
      <c r="L121" s="620" t="s">
        <v>226</v>
      </c>
    </row>
    <row r="122" spans="1:12" s="621" customFormat="1" ht="13.8" x14ac:dyDescent="0.3">
      <c r="A122" s="622">
        <v>108</v>
      </c>
      <c r="B122" s="166"/>
      <c r="C122" s="188"/>
      <c r="D122" s="190"/>
      <c r="E122" s="191"/>
      <c r="F122" s="190" t="str">
        <f t="shared" si="3"/>
        <v/>
      </c>
      <c r="G122" s="192"/>
      <c r="H122" s="193" t="str">
        <f t="shared" ca="1" si="4"/>
        <v/>
      </c>
      <c r="I122" s="195"/>
      <c r="J122" s="195" t="str">
        <f t="shared" si="5"/>
        <v/>
      </c>
      <c r="K122" s="199"/>
      <c r="L122" s="620" t="s">
        <v>226</v>
      </c>
    </row>
    <row r="123" spans="1:12" s="621" customFormat="1" ht="13.8" x14ac:dyDescent="0.3">
      <c r="A123" s="622">
        <v>109</v>
      </c>
      <c r="B123" s="166"/>
      <c r="C123" s="188"/>
      <c r="D123" s="190"/>
      <c r="E123" s="191"/>
      <c r="F123" s="190" t="str">
        <f t="shared" si="3"/>
        <v/>
      </c>
      <c r="G123" s="192"/>
      <c r="H123" s="193" t="str">
        <f t="shared" ca="1" si="4"/>
        <v/>
      </c>
      <c r="I123" s="195"/>
      <c r="J123" s="195" t="str">
        <f t="shared" si="5"/>
        <v/>
      </c>
      <c r="K123" s="199"/>
      <c r="L123" s="620" t="s">
        <v>226</v>
      </c>
    </row>
    <row r="124" spans="1:12" s="621" customFormat="1" ht="13.8" x14ac:dyDescent="0.3">
      <c r="A124" s="622">
        <v>110</v>
      </c>
      <c r="B124" s="166"/>
      <c r="C124" s="201"/>
      <c r="D124" s="190"/>
      <c r="E124" s="191"/>
      <c r="F124" s="190" t="str">
        <f t="shared" si="3"/>
        <v/>
      </c>
      <c r="G124" s="192"/>
      <c r="H124" s="193" t="str">
        <f t="shared" ca="1" si="4"/>
        <v/>
      </c>
      <c r="I124" s="195"/>
      <c r="J124" s="195" t="str">
        <f t="shared" si="5"/>
        <v/>
      </c>
      <c r="K124" s="199"/>
      <c r="L124" s="620" t="s">
        <v>226</v>
      </c>
    </row>
    <row r="125" spans="1:12" s="621" customFormat="1" ht="13.8" x14ac:dyDescent="0.3">
      <c r="A125" s="622">
        <v>111</v>
      </c>
      <c r="B125" s="166"/>
      <c r="C125" s="188"/>
      <c r="D125" s="190"/>
      <c r="E125" s="191"/>
      <c r="F125" s="190" t="str">
        <f t="shared" si="3"/>
        <v/>
      </c>
      <c r="G125" s="192"/>
      <c r="H125" s="193" t="str">
        <f t="shared" ca="1" si="4"/>
        <v/>
      </c>
      <c r="I125" s="195"/>
      <c r="J125" s="195" t="str">
        <f t="shared" si="5"/>
        <v/>
      </c>
      <c r="K125" s="199"/>
      <c r="L125" s="620" t="s">
        <v>226</v>
      </c>
    </row>
    <row r="126" spans="1:12" s="621" customFormat="1" ht="13.8" x14ac:dyDescent="0.3">
      <c r="A126" s="622">
        <v>112</v>
      </c>
      <c r="B126" s="166"/>
      <c r="C126" s="188"/>
      <c r="D126" s="190"/>
      <c r="E126" s="191"/>
      <c r="F126" s="190" t="str">
        <f t="shared" si="3"/>
        <v/>
      </c>
      <c r="G126" s="192"/>
      <c r="H126" s="193" t="str">
        <f t="shared" ca="1" si="4"/>
        <v/>
      </c>
      <c r="I126" s="195"/>
      <c r="J126" s="195" t="str">
        <f t="shared" si="5"/>
        <v/>
      </c>
      <c r="K126" s="199"/>
      <c r="L126" s="620" t="s">
        <v>226</v>
      </c>
    </row>
    <row r="127" spans="1:12" s="621" customFormat="1" ht="13.8" x14ac:dyDescent="0.3">
      <c r="A127" s="622">
        <v>113</v>
      </c>
      <c r="B127" s="166"/>
      <c r="C127" s="188"/>
      <c r="D127" s="190"/>
      <c r="E127" s="191"/>
      <c r="F127" s="190" t="str">
        <f t="shared" si="3"/>
        <v/>
      </c>
      <c r="G127" s="192"/>
      <c r="H127" s="193" t="str">
        <f t="shared" ca="1" si="4"/>
        <v/>
      </c>
      <c r="I127" s="195"/>
      <c r="J127" s="195" t="str">
        <f t="shared" si="5"/>
        <v/>
      </c>
      <c r="K127" s="199"/>
      <c r="L127" s="620" t="s">
        <v>226</v>
      </c>
    </row>
    <row r="128" spans="1:12" s="621" customFormat="1" ht="13.8" x14ac:dyDescent="0.3">
      <c r="A128" s="622">
        <v>114</v>
      </c>
      <c r="B128" s="166"/>
      <c r="C128" s="188"/>
      <c r="D128" s="190"/>
      <c r="E128" s="191"/>
      <c r="F128" s="190" t="str">
        <f t="shared" si="3"/>
        <v/>
      </c>
      <c r="G128" s="192"/>
      <c r="H128" s="193" t="str">
        <f t="shared" ca="1" si="4"/>
        <v/>
      </c>
      <c r="I128" s="195"/>
      <c r="J128" s="195" t="str">
        <f t="shared" si="5"/>
        <v/>
      </c>
      <c r="K128" s="199"/>
      <c r="L128" s="620" t="s">
        <v>226</v>
      </c>
    </row>
    <row r="129" spans="1:12" s="621" customFormat="1" ht="13.8" x14ac:dyDescent="0.3">
      <c r="A129" s="622">
        <v>115</v>
      </c>
      <c r="B129" s="166"/>
      <c r="C129" s="188"/>
      <c r="D129" s="190"/>
      <c r="E129" s="191"/>
      <c r="F129" s="190" t="str">
        <f t="shared" si="3"/>
        <v/>
      </c>
      <c r="G129" s="192"/>
      <c r="H129" s="193" t="str">
        <f t="shared" ca="1" si="4"/>
        <v/>
      </c>
      <c r="I129" s="195"/>
      <c r="J129" s="195" t="str">
        <f t="shared" si="5"/>
        <v/>
      </c>
      <c r="K129" s="199"/>
      <c r="L129" s="620" t="s">
        <v>226</v>
      </c>
    </row>
    <row r="130" spans="1:12" s="621" customFormat="1" ht="13.8" x14ac:dyDescent="0.3">
      <c r="A130" s="622">
        <v>116</v>
      </c>
      <c r="B130" s="166"/>
      <c r="C130" s="188"/>
      <c r="D130" s="190"/>
      <c r="E130" s="191"/>
      <c r="F130" s="190" t="str">
        <f t="shared" si="3"/>
        <v/>
      </c>
      <c r="G130" s="192"/>
      <c r="H130" s="193" t="str">
        <f t="shared" ca="1" si="4"/>
        <v/>
      </c>
      <c r="I130" s="195"/>
      <c r="J130" s="195" t="str">
        <f t="shared" si="5"/>
        <v/>
      </c>
      <c r="K130" s="199"/>
      <c r="L130" s="620" t="s">
        <v>226</v>
      </c>
    </row>
    <row r="131" spans="1:12" s="621" customFormat="1" ht="13.8" x14ac:dyDescent="0.3">
      <c r="A131" s="622">
        <v>117</v>
      </c>
      <c r="B131" s="166"/>
      <c r="C131" s="188"/>
      <c r="D131" s="190"/>
      <c r="E131" s="191"/>
      <c r="F131" s="190" t="str">
        <f t="shared" si="3"/>
        <v/>
      </c>
      <c r="G131" s="192"/>
      <c r="H131" s="193" t="str">
        <f t="shared" ca="1" si="4"/>
        <v/>
      </c>
      <c r="I131" s="195"/>
      <c r="J131" s="195" t="str">
        <f t="shared" si="5"/>
        <v/>
      </c>
      <c r="K131" s="199"/>
      <c r="L131" s="620" t="s">
        <v>226</v>
      </c>
    </row>
    <row r="132" spans="1:12" s="621" customFormat="1" ht="13.8" x14ac:dyDescent="0.3">
      <c r="A132" s="622">
        <v>118</v>
      </c>
      <c r="B132" s="166"/>
      <c r="C132" s="188"/>
      <c r="D132" s="190"/>
      <c r="E132" s="191"/>
      <c r="F132" s="190" t="str">
        <f t="shared" si="3"/>
        <v/>
      </c>
      <c r="G132" s="192"/>
      <c r="H132" s="193" t="str">
        <f t="shared" ca="1" si="4"/>
        <v/>
      </c>
      <c r="I132" s="195"/>
      <c r="J132" s="195" t="str">
        <f t="shared" si="5"/>
        <v/>
      </c>
      <c r="K132" s="199"/>
      <c r="L132" s="620" t="s">
        <v>226</v>
      </c>
    </row>
    <row r="133" spans="1:12" s="621" customFormat="1" ht="13.8" x14ac:dyDescent="0.3">
      <c r="A133" s="622">
        <v>119</v>
      </c>
      <c r="B133" s="166"/>
      <c r="C133" s="188"/>
      <c r="D133" s="190"/>
      <c r="E133" s="191"/>
      <c r="F133" s="190" t="str">
        <f t="shared" si="3"/>
        <v/>
      </c>
      <c r="G133" s="192"/>
      <c r="H133" s="193" t="str">
        <f t="shared" ca="1" si="4"/>
        <v/>
      </c>
      <c r="I133" s="195"/>
      <c r="J133" s="195" t="str">
        <f t="shared" si="5"/>
        <v/>
      </c>
      <c r="K133" s="199"/>
      <c r="L133" s="620" t="s">
        <v>226</v>
      </c>
    </row>
    <row r="134" spans="1:12" s="621" customFormat="1" ht="13.8" x14ac:dyDescent="0.3">
      <c r="A134" s="622">
        <v>120</v>
      </c>
      <c r="B134" s="166"/>
      <c r="C134" s="188"/>
      <c r="D134" s="190"/>
      <c r="E134" s="191"/>
      <c r="F134" s="190" t="str">
        <f t="shared" si="3"/>
        <v/>
      </c>
      <c r="G134" s="192"/>
      <c r="H134" s="193" t="str">
        <f t="shared" ca="1" si="4"/>
        <v/>
      </c>
      <c r="I134" s="195"/>
      <c r="J134" s="195" t="str">
        <f t="shared" si="5"/>
        <v/>
      </c>
      <c r="K134" s="199"/>
      <c r="L134" s="620" t="s">
        <v>226</v>
      </c>
    </row>
    <row r="135" spans="1:12" s="621" customFormat="1" ht="13.8" x14ac:dyDescent="0.3">
      <c r="A135" s="622">
        <v>121</v>
      </c>
      <c r="B135" s="166"/>
      <c r="C135" s="188"/>
      <c r="D135" s="190"/>
      <c r="E135" s="191"/>
      <c r="F135" s="190" t="str">
        <f t="shared" si="3"/>
        <v/>
      </c>
      <c r="G135" s="192"/>
      <c r="H135" s="193" t="str">
        <f t="shared" ca="1" si="4"/>
        <v/>
      </c>
      <c r="I135" s="195"/>
      <c r="J135" s="195" t="str">
        <f t="shared" si="5"/>
        <v/>
      </c>
      <c r="K135" s="199"/>
      <c r="L135" s="620" t="s">
        <v>226</v>
      </c>
    </row>
    <row r="136" spans="1:12" s="621" customFormat="1" ht="13.8" x14ac:dyDescent="0.3">
      <c r="A136" s="622">
        <v>122</v>
      </c>
      <c r="B136" s="166"/>
      <c r="C136" s="188"/>
      <c r="D136" s="190"/>
      <c r="E136" s="191"/>
      <c r="F136" s="190" t="str">
        <f t="shared" si="3"/>
        <v/>
      </c>
      <c r="G136" s="192"/>
      <c r="H136" s="193" t="str">
        <f t="shared" ca="1" si="4"/>
        <v/>
      </c>
      <c r="I136" s="195"/>
      <c r="J136" s="195" t="str">
        <f t="shared" si="5"/>
        <v/>
      </c>
      <c r="K136" s="199"/>
      <c r="L136" s="620" t="s">
        <v>226</v>
      </c>
    </row>
    <row r="137" spans="1:12" s="621" customFormat="1" ht="13.8" x14ac:dyDescent="0.3">
      <c r="A137" s="622">
        <v>123</v>
      </c>
      <c r="B137" s="166"/>
      <c r="C137" s="188"/>
      <c r="D137" s="190"/>
      <c r="E137" s="191"/>
      <c r="F137" s="190" t="str">
        <f t="shared" si="3"/>
        <v/>
      </c>
      <c r="G137" s="192"/>
      <c r="H137" s="193" t="str">
        <f t="shared" ca="1" si="4"/>
        <v/>
      </c>
      <c r="I137" s="195"/>
      <c r="J137" s="195" t="str">
        <f t="shared" si="5"/>
        <v/>
      </c>
      <c r="K137" s="199"/>
      <c r="L137" s="620" t="s">
        <v>226</v>
      </c>
    </row>
    <row r="138" spans="1:12" s="621" customFormat="1" ht="13.8" x14ac:dyDescent="0.3">
      <c r="A138" s="622">
        <v>124</v>
      </c>
      <c r="B138" s="166"/>
      <c r="C138" s="188"/>
      <c r="D138" s="190"/>
      <c r="E138" s="191"/>
      <c r="F138" s="190" t="str">
        <f t="shared" si="3"/>
        <v/>
      </c>
      <c r="G138" s="192"/>
      <c r="H138" s="193" t="str">
        <f t="shared" ca="1" si="4"/>
        <v/>
      </c>
      <c r="I138" s="195"/>
      <c r="J138" s="195" t="str">
        <f t="shared" si="5"/>
        <v/>
      </c>
      <c r="K138" s="199"/>
      <c r="L138" s="620" t="s">
        <v>226</v>
      </c>
    </row>
    <row r="139" spans="1:12" s="621" customFormat="1" ht="13.8" x14ac:dyDescent="0.3">
      <c r="A139" s="622">
        <v>125</v>
      </c>
      <c r="B139" s="166"/>
      <c r="C139" s="188"/>
      <c r="D139" s="190"/>
      <c r="E139" s="191"/>
      <c r="F139" s="190" t="str">
        <f t="shared" si="3"/>
        <v/>
      </c>
      <c r="G139" s="192"/>
      <c r="H139" s="193" t="str">
        <f t="shared" ca="1" si="4"/>
        <v/>
      </c>
      <c r="I139" s="195"/>
      <c r="J139" s="195" t="str">
        <f t="shared" si="5"/>
        <v/>
      </c>
      <c r="K139" s="199"/>
      <c r="L139" s="620" t="s">
        <v>226</v>
      </c>
    </row>
    <row r="140" spans="1:12" s="621" customFormat="1" ht="13.8" x14ac:dyDescent="0.3">
      <c r="A140" s="622">
        <v>126</v>
      </c>
      <c r="B140" s="166"/>
      <c r="C140" s="188"/>
      <c r="D140" s="190"/>
      <c r="E140" s="191"/>
      <c r="F140" s="190" t="str">
        <f t="shared" si="3"/>
        <v/>
      </c>
      <c r="G140" s="192"/>
      <c r="H140" s="193" t="str">
        <f t="shared" ca="1" si="4"/>
        <v/>
      </c>
      <c r="I140" s="195"/>
      <c r="J140" s="195" t="str">
        <f t="shared" si="5"/>
        <v/>
      </c>
      <c r="K140" s="199"/>
      <c r="L140" s="620" t="s">
        <v>226</v>
      </c>
    </row>
    <row r="141" spans="1:12" s="621" customFormat="1" ht="13.8" x14ac:dyDescent="0.3">
      <c r="A141" s="622">
        <v>127</v>
      </c>
      <c r="B141" s="166"/>
      <c r="C141" s="188"/>
      <c r="D141" s="190"/>
      <c r="E141" s="191"/>
      <c r="F141" s="190" t="str">
        <f t="shared" si="3"/>
        <v/>
      </c>
      <c r="G141" s="192"/>
      <c r="H141" s="193" t="str">
        <f t="shared" ca="1" si="4"/>
        <v/>
      </c>
      <c r="I141" s="195"/>
      <c r="J141" s="195" t="str">
        <f t="shared" si="5"/>
        <v/>
      </c>
      <c r="K141" s="199"/>
      <c r="L141" s="620" t="s">
        <v>226</v>
      </c>
    </row>
    <row r="142" spans="1:12" s="621" customFormat="1" ht="13.8" x14ac:dyDescent="0.3">
      <c r="A142" s="622">
        <v>128</v>
      </c>
      <c r="B142" s="166"/>
      <c r="C142" s="188"/>
      <c r="D142" s="190"/>
      <c r="E142" s="191"/>
      <c r="F142" s="190" t="str">
        <f t="shared" si="3"/>
        <v/>
      </c>
      <c r="G142" s="192"/>
      <c r="H142" s="193" t="str">
        <f t="shared" ca="1" si="4"/>
        <v/>
      </c>
      <c r="I142" s="195"/>
      <c r="J142" s="195" t="str">
        <f t="shared" si="5"/>
        <v/>
      </c>
      <c r="K142" s="199"/>
      <c r="L142" s="620" t="s">
        <v>226</v>
      </c>
    </row>
    <row r="143" spans="1:12" s="621" customFormat="1" ht="13.8" x14ac:dyDescent="0.3">
      <c r="A143" s="622">
        <v>129</v>
      </c>
      <c r="B143" s="166"/>
      <c r="C143" s="188"/>
      <c r="D143" s="190"/>
      <c r="E143" s="191"/>
      <c r="F143" s="190" t="str">
        <f t="shared" ref="F143:F206" si="6">IF(E143&lt;&gt;"",D143-1+INT(E143),"")</f>
        <v/>
      </c>
      <c r="G143" s="192"/>
      <c r="H143" s="193" t="str">
        <f t="shared" ref="H143:H206" ca="1" si="7">IFERROR(
IF(J143=1,100%,
IF(F143&lt;&gt;"",
IF(F143&gt;TODAY(),
IF((TODAY()-D143)/(F143-D143)&gt;0,(TODAY()-D143)/(F143-D143),0),0%),"")),0)</f>
        <v/>
      </c>
      <c r="I143" s="195"/>
      <c r="J143" s="195" t="str">
        <f t="shared" si="5"/>
        <v/>
      </c>
      <c r="K143" s="199"/>
      <c r="L143" s="620" t="s">
        <v>226</v>
      </c>
    </row>
    <row r="144" spans="1:12" s="621" customFormat="1" ht="13.8" x14ac:dyDescent="0.3">
      <c r="A144" s="622">
        <v>130</v>
      </c>
      <c r="B144" s="166"/>
      <c r="C144" s="188"/>
      <c r="D144" s="190"/>
      <c r="E144" s="191"/>
      <c r="F144" s="190" t="str">
        <f t="shared" si="6"/>
        <v/>
      </c>
      <c r="G144" s="192"/>
      <c r="H144" s="193" t="str">
        <f t="shared" ca="1" si="7"/>
        <v/>
      </c>
      <c r="I144" s="195"/>
      <c r="J144" s="195" t="str">
        <f t="shared" si="5"/>
        <v/>
      </c>
      <c r="K144" s="199"/>
      <c r="L144" s="620" t="s">
        <v>226</v>
      </c>
    </row>
    <row r="145" spans="1:12" s="621" customFormat="1" ht="13.8" x14ac:dyDescent="0.3">
      <c r="A145" s="622">
        <v>131</v>
      </c>
      <c r="B145" s="166"/>
      <c r="C145" s="188"/>
      <c r="D145" s="190"/>
      <c r="E145" s="191"/>
      <c r="F145" s="190" t="str">
        <f t="shared" si="6"/>
        <v/>
      </c>
      <c r="G145" s="192"/>
      <c r="H145" s="193" t="str">
        <f t="shared" ca="1" si="7"/>
        <v/>
      </c>
      <c r="I145" s="195"/>
      <c r="J145" s="195" t="str">
        <f t="shared" ref="J145:J208" si="8">IF(K145&lt;&gt;0,3,"")</f>
        <v/>
      </c>
      <c r="K145" s="199"/>
      <c r="L145" s="620" t="s">
        <v>226</v>
      </c>
    </row>
    <row r="146" spans="1:12" s="621" customFormat="1" ht="13.8" x14ac:dyDescent="0.3">
      <c r="A146" s="622">
        <v>132</v>
      </c>
      <c r="B146" s="166"/>
      <c r="C146" s="188"/>
      <c r="D146" s="190"/>
      <c r="E146" s="191"/>
      <c r="F146" s="190" t="str">
        <f t="shared" si="6"/>
        <v/>
      </c>
      <c r="G146" s="192"/>
      <c r="H146" s="193" t="str">
        <f t="shared" ca="1" si="7"/>
        <v/>
      </c>
      <c r="I146" s="195"/>
      <c r="J146" s="195" t="str">
        <f t="shared" si="8"/>
        <v/>
      </c>
      <c r="K146" s="199"/>
      <c r="L146" s="620" t="s">
        <v>226</v>
      </c>
    </row>
    <row r="147" spans="1:12" s="621" customFormat="1" ht="13.8" x14ac:dyDescent="0.3">
      <c r="A147" s="622">
        <v>133</v>
      </c>
      <c r="B147" s="166"/>
      <c r="C147" s="188"/>
      <c r="D147" s="190"/>
      <c r="E147" s="191"/>
      <c r="F147" s="190" t="str">
        <f t="shared" si="6"/>
        <v/>
      </c>
      <c r="G147" s="192"/>
      <c r="H147" s="193" t="str">
        <f t="shared" ca="1" si="7"/>
        <v/>
      </c>
      <c r="I147" s="195"/>
      <c r="J147" s="195" t="str">
        <f t="shared" si="8"/>
        <v/>
      </c>
      <c r="K147" s="199"/>
      <c r="L147" s="620" t="s">
        <v>226</v>
      </c>
    </row>
    <row r="148" spans="1:12" s="621" customFormat="1" ht="13.8" x14ac:dyDescent="0.3">
      <c r="A148" s="622">
        <v>134</v>
      </c>
      <c r="B148" s="166"/>
      <c r="C148" s="188"/>
      <c r="D148" s="190"/>
      <c r="E148" s="191"/>
      <c r="F148" s="190" t="str">
        <f t="shared" si="6"/>
        <v/>
      </c>
      <c r="G148" s="192"/>
      <c r="H148" s="193" t="str">
        <f t="shared" ca="1" si="7"/>
        <v/>
      </c>
      <c r="I148" s="195"/>
      <c r="J148" s="195" t="str">
        <f t="shared" si="8"/>
        <v/>
      </c>
      <c r="K148" s="199"/>
      <c r="L148" s="620" t="s">
        <v>226</v>
      </c>
    </row>
    <row r="149" spans="1:12" s="621" customFormat="1" ht="13.8" x14ac:dyDescent="0.3">
      <c r="A149" s="622">
        <v>135</v>
      </c>
      <c r="B149" s="166"/>
      <c r="C149" s="188"/>
      <c r="D149" s="190"/>
      <c r="E149" s="191"/>
      <c r="F149" s="190" t="str">
        <f t="shared" si="6"/>
        <v/>
      </c>
      <c r="G149" s="192"/>
      <c r="H149" s="193" t="str">
        <f t="shared" ca="1" si="7"/>
        <v/>
      </c>
      <c r="I149" s="195"/>
      <c r="J149" s="195" t="str">
        <f t="shared" si="8"/>
        <v/>
      </c>
      <c r="K149" s="199"/>
      <c r="L149" s="620" t="s">
        <v>226</v>
      </c>
    </row>
    <row r="150" spans="1:12" s="621" customFormat="1" ht="13.8" x14ac:dyDescent="0.3">
      <c r="A150" s="622">
        <v>136</v>
      </c>
      <c r="B150" s="166"/>
      <c r="C150" s="188"/>
      <c r="D150" s="190"/>
      <c r="E150" s="191"/>
      <c r="F150" s="190" t="str">
        <f t="shared" si="6"/>
        <v/>
      </c>
      <c r="G150" s="192"/>
      <c r="H150" s="193" t="str">
        <f t="shared" ca="1" si="7"/>
        <v/>
      </c>
      <c r="I150" s="195"/>
      <c r="J150" s="195" t="str">
        <f t="shared" si="8"/>
        <v/>
      </c>
      <c r="K150" s="199"/>
      <c r="L150" s="620" t="s">
        <v>226</v>
      </c>
    </row>
    <row r="151" spans="1:12" s="621" customFormat="1" ht="13.8" x14ac:dyDescent="0.3">
      <c r="A151" s="622">
        <v>137</v>
      </c>
      <c r="B151" s="166"/>
      <c r="C151" s="188"/>
      <c r="D151" s="190"/>
      <c r="E151" s="191"/>
      <c r="F151" s="190" t="str">
        <f t="shared" si="6"/>
        <v/>
      </c>
      <c r="G151" s="192"/>
      <c r="H151" s="193" t="str">
        <f t="shared" ca="1" si="7"/>
        <v/>
      </c>
      <c r="I151" s="195"/>
      <c r="J151" s="195" t="str">
        <f t="shared" si="8"/>
        <v/>
      </c>
      <c r="K151" s="199"/>
      <c r="L151" s="620" t="s">
        <v>226</v>
      </c>
    </row>
    <row r="152" spans="1:12" s="621" customFormat="1" ht="13.8" x14ac:dyDescent="0.3">
      <c r="A152" s="622">
        <v>138</v>
      </c>
      <c r="B152" s="166"/>
      <c r="C152" s="188"/>
      <c r="D152" s="190"/>
      <c r="E152" s="191"/>
      <c r="F152" s="190" t="str">
        <f t="shared" si="6"/>
        <v/>
      </c>
      <c r="G152" s="192"/>
      <c r="H152" s="193" t="str">
        <f t="shared" ca="1" si="7"/>
        <v/>
      </c>
      <c r="I152" s="195"/>
      <c r="J152" s="195" t="str">
        <f t="shared" si="8"/>
        <v/>
      </c>
      <c r="K152" s="199"/>
      <c r="L152" s="620" t="s">
        <v>226</v>
      </c>
    </row>
    <row r="153" spans="1:12" s="621" customFormat="1" ht="13.8" x14ac:dyDescent="0.3">
      <c r="A153" s="622">
        <v>139</v>
      </c>
      <c r="B153" s="166"/>
      <c r="C153" s="188"/>
      <c r="D153" s="190"/>
      <c r="E153" s="191"/>
      <c r="F153" s="190" t="str">
        <f t="shared" si="6"/>
        <v/>
      </c>
      <c r="G153" s="192"/>
      <c r="H153" s="193" t="str">
        <f t="shared" ca="1" si="7"/>
        <v/>
      </c>
      <c r="I153" s="195"/>
      <c r="J153" s="195" t="str">
        <f t="shared" si="8"/>
        <v/>
      </c>
      <c r="K153" s="199"/>
      <c r="L153" s="620" t="s">
        <v>226</v>
      </c>
    </row>
    <row r="154" spans="1:12" s="621" customFormat="1" ht="13.8" x14ac:dyDescent="0.3">
      <c r="A154" s="622">
        <v>140</v>
      </c>
      <c r="B154" s="166"/>
      <c r="C154" s="188"/>
      <c r="D154" s="190"/>
      <c r="E154" s="191"/>
      <c r="F154" s="190" t="str">
        <f t="shared" si="6"/>
        <v/>
      </c>
      <c r="G154" s="192"/>
      <c r="H154" s="193" t="str">
        <f t="shared" ca="1" si="7"/>
        <v/>
      </c>
      <c r="I154" s="195"/>
      <c r="J154" s="195" t="str">
        <f t="shared" si="8"/>
        <v/>
      </c>
      <c r="K154" s="199"/>
      <c r="L154" s="620" t="s">
        <v>226</v>
      </c>
    </row>
    <row r="155" spans="1:12" s="621" customFormat="1" ht="13.8" x14ac:dyDescent="0.3">
      <c r="A155" s="622">
        <v>141</v>
      </c>
      <c r="B155" s="166"/>
      <c r="C155" s="188"/>
      <c r="D155" s="190"/>
      <c r="E155" s="191"/>
      <c r="F155" s="190" t="str">
        <f t="shared" si="6"/>
        <v/>
      </c>
      <c r="G155" s="192"/>
      <c r="H155" s="193" t="str">
        <f t="shared" ca="1" si="7"/>
        <v/>
      </c>
      <c r="I155" s="195"/>
      <c r="J155" s="195" t="str">
        <f t="shared" si="8"/>
        <v/>
      </c>
      <c r="K155" s="199"/>
      <c r="L155" s="620" t="s">
        <v>226</v>
      </c>
    </row>
    <row r="156" spans="1:12" s="621" customFormat="1" ht="13.8" x14ac:dyDescent="0.3">
      <c r="A156" s="622">
        <v>142</v>
      </c>
      <c r="B156" s="166"/>
      <c r="C156" s="188"/>
      <c r="D156" s="190"/>
      <c r="E156" s="191"/>
      <c r="F156" s="190" t="str">
        <f t="shared" si="6"/>
        <v/>
      </c>
      <c r="G156" s="192"/>
      <c r="H156" s="193" t="str">
        <f t="shared" ca="1" si="7"/>
        <v/>
      </c>
      <c r="I156" s="195"/>
      <c r="J156" s="195" t="str">
        <f t="shared" si="8"/>
        <v/>
      </c>
      <c r="K156" s="199"/>
      <c r="L156" s="620" t="s">
        <v>226</v>
      </c>
    </row>
    <row r="157" spans="1:12" s="621" customFormat="1" ht="13.8" x14ac:dyDescent="0.3">
      <c r="A157" s="622">
        <v>143</v>
      </c>
      <c r="B157" s="166"/>
      <c r="C157" s="188"/>
      <c r="D157" s="190"/>
      <c r="E157" s="191"/>
      <c r="F157" s="190" t="str">
        <f t="shared" si="6"/>
        <v/>
      </c>
      <c r="G157" s="192"/>
      <c r="H157" s="193" t="str">
        <f t="shared" ca="1" si="7"/>
        <v/>
      </c>
      <c r="I157" s="195"/>
      <c r="J157" s="195" t="str">
        <f t="shared" si="8"/>
        <v/>
      </c>
      <c r="K157" s="199"/>
      <c r="L157" s="620" t="s">
        <v>226</v>
      </c>
    </row>
    <row r="158" spans="1:12" s="621" customFormat="1" ht="13.8" x14ac:dyDescent="0.3">
      <c r="A158" s="622">
        <v>144</v>
      </c>
      <c r="B158" s="166"/>
      <c r="C158" s="188"/>
      <c r="D158" s="190"/>
      <c r="E158" s="191"/>
      <c r="F158" s="190" t="str">
        <f t="shared" si="6"/>
        <v/>
      </c>
      <c r="G158" s="192"/>
      <c r="H158" s="193" t="str">
        <f t="shared" ca="1" si="7"/>
        <v/>
      </c>
      <c r="I158" s="195"/>
      <c r="J158" s="195" t="str">
        <f t="shared" si="8"/>
        <v/>
      </c>
      <c r="K158" s="199"/>
      <c r="L158" s="620" t="s">
        <v>226</v>
      </c>
    </row>
    <row r="159" spans="1:12" s="621" customFormat="1" ht="13.8" x14ac:dyDescent="0.3">
      <c r="A159" s="622">
        <v>145</v>
      </c>
      <c r="B159" s="166"/>
      <c r="C159" s="188"/>
      <c r="D159" s="190"/>
      <c r="E159" s="191"/>
      <c r="F159" s="190" t="str">
        <f t="shared" si="6"/>
        <v/>
      </c>
      <c r="G159" s="192"/>
      <c r="H159" s="193" t="str">
        <f t="shared" ca="1" si="7"/>
        <v/>
      </c>
      <c r="I159" s="195"/>
      <c r="J159" s="195" t="str">
        <f t="shared" si="8"/>
        <v/>
      </c>
      <c r="K159" s="199"/>
      <c r="L159" s="620" t="s">
        <v>226</v>
      </c>
    </row>
    <row r="160" spans="1:12" s="621" customFormat="1" ht="13.8" x14ac:dyDescent="0.3">
      <c r="A160" s="622">
        <v>146</v>
      </c>
      <c r="B160" s="166"/>
      <c r="C160" s="188"/>
      <c r="D160" s="190"/>
      <c r="E160" s="191"/>
      <c r="F160" s="190" t="str">
        <f t="shared" si="6"/>
        <v/>
      </c>
      <c r="G160" s="192"/>
      <c r="H160" s="193" t="str">
        <f t="shared" ca="1" si="7"/>
        <v/>
      </c>
      <c r="I160" s="195"/>
      <c r="J160" s="195" t="str">
        <f t="shared" si="8"/>
        <v/>
      </c>
      <c r="K160" s="199"/>
      <c r="L160" s="620" t="s">
        <v>226</v>
      </c>
    </row>
    <row r="161" spans="1:12" s="621" customFormat="1" ht="13.8" x14ac:dyDescent="0.3">
      <c r="A161" s="622">
        <v>147</v>
      </c>
      <c r="B161" s="166"/>
      <c r="C161" s="188"/>
      <c r="D161" s="190"/>
      <c r="E161" s="191"/>
      <c r="F161" s="190" t="str">
        <f t="shared" si="6"/>
        <v/>
      </c>
      <c r="G161" s="192"/>
      <c r="H161" s="193" t="str">
        <f t="shared" ca="1" si="7"/>
        <v/>
      </c>
      <c r="I161" s="195"/>
      <c r="J161" s="195" t="str">
        <f t="shared" si="8"/>
        <v/>
      </c>
      <c r="K161" s="199"/>
      <c r="L161" s="620" t="s">
        <v>226</v>
      </c>
    </row>
    <row r="162" spans="1:12" s="621" customFormat="1" ht="13.8" x14ac:dyDescent="0.3">
      <c r="A162" s="622">
        <v>148</v>
      </c>
      <c r="B162" s="166"/>
      <c r="C162" s="188"/>
      <c r="D162" s="190"/>
      <c r="E162" s="191"/>
      <c r="F162" s="190" t="str">
        <f t="shared" si="6"/>
        <v/>
      </c>
      <c r="G162" s="192"/>
      <c r="H162" s="193" t="str">
        <f t="shared" ca="1" si="7"/>
        <v/>
      </c>
      <c r="I162" s="195"/>
      <c r="J162" s="195" t="str">
        <f t="shared" si="8"/>
        <v/>
      </c>
      <c r="K162" s="199"/>
      <c r="L162" s="620" t="s">
        <v>226</v>
      </c>
    </row>
    <row r="163" spans="1:12" s="621" customFormat="1" ht="13.8" x14ac:dyDescent="0.3">
      <c r="A163" s="622">
        <v>149</v>
      </c>
      <c r="B163" s="166"/>
      <c r="C163" s="188"/>
      <c r="D163" s="190"/>
      <c r="E163" s="191"/>
      <c r="F163" s="190" t="str">
        <f t="shared" si="6"/>
        <v/>
      </c>
      <c r="G163" s="192"/>
      <c r="H163" s="193" t="str">
        <f t="shared" ca="1" si="7"/>
        <v/>
      </c>
      <c r="I163" s="195"/>
      <c r="J163" s="195" t="str">
        <f t="shared" si="8"/>
        <v/>
      </c>
      <c r="K163" s="199"/>
      <c r="L163" s="620" t="s">
        <v>226</v>
      </c>
    </row>
    <row r="164" spans="1:12" s="621" customFormat="1" ht="13.8" x14ac:dyDescent="0.3">
      <c r="A164" s="622">
        <v>150</v>
      </c>
      <c r="B164" s="166"/>
      <c r="C164" s="188"/>
      <c r="D164" s="190"/>
      <c r="E164" s="191"/>
      <c r="F164" s="190" t="str">
        <f t="shared" si="6"/>
        <v/>
      </c>
      <c r="G164" s="192"/>
      <c r="H164" s="193" t="str">
        <f t="shared" ca="1" si="7"/>
        <v/>
      </c>
      <c r="I164" s="195"/>
      <c r="J164" s="195" t="str">
        <f t="shared" si="8"/>
        <v/>
      </c>
      <c r="K164" s="199"/>
      <c r="L164" s="620" t="s">
        <v>226</v>
      </c>
    </row>
    <row r="165" spans="1:12" s="621" customFormat="1" ht="13.8" x14ac:dyDescent="0.3">
      <c r="A165" s="622">
        <v>151</v>
      </c>
      <c r="B165" s="166"/>
      <c r="C165" s="188"/>
      <c r="D165" s="190"/>
      <c r="E165" s="191"/>
      <c r="F165" s="190" t="str">
        <f t="shared" si="6"/>
        <v/>
      </c>
      <c r="G165" s="192"/>
      <c r="H165" s="193" t="str">
        <f t="shared" ca="1" si="7"/>
        <v/>
      </c>
      <c r="I165" s="195"/>
      <c r="J165" s="195" t="str">
        <f t="shared" si="8"/>
        <v/>
      </c>
      <c r="K165" s="199"/>
      <c r="L165" s="620" t="s">
        <v>226</v>
      </c>
    </row>
    <row r="166" spans="1:12" s="621" customFormat="1" ht="13.8" x14ac:dyDescent="0.3">
      <c r="A166" s="622">
        <v>152</v>
      </c>
      <c r="B166" s="166"/>
      <c r="C166" s="188"/>
      <c r="D166" s="190"/>
      <c r="E166" s="191"/>
      <c r="F166" s="190" t="str">
        <f t="shared" si="6"/>
        <v/>
      </c>
      <c r="G166" s="192"/>
      <c r="H166" s="193" t="str">
        <f t="shared" ca="1" si="7"/>
        <v/>
      </c>
      <c r="I166" s="195"/>
      <c r="J166" s="195" t="str">
        <f t="shared" si="8"/>
        <v/>
      </c>
      <c r="K166" s="199"/>
      <c r="L166" s="620" t="s">
        <v>226</v>
      </c>
    </row>
    <row r="167" spans="1:12" s="621" customFormat="1" ht="13.8" x14ac:dyDescent="0.3">
      <c r="A167" s="622">
        <v>153</v>
      </c>
      <c r="B167" s="166"/>
      <c r="C167" s="188"/>
      <c r="D167" s="190"/>
      <c r="E167" s="191"/>
      <c r="F167" s="190" t="str">
        <f t="shared" si="6"/>
        <v/>
      </c>
      <c r="G167" s="192"/>
      <c r="H167" s="193" t="str">
        <f t="shared" ca="1" si="7"/>
        <v/>
      </c>
      <c r="I167" s="195"/>
      <c r="J167" s="195" t="str">
        <f t="shared" si="8"/>
        <v/>
      </c>
      <c r="K167" s="199"/>
      <c r="L167" s="620" t="s">
        <v>226</v>
      </c>
    </row>
    <row r="168" spans="1:12" s="621" customFormat="1" ht="13.8" x14ac:dyDescent="0.3">
      <c r="A168" s="622">
        <v>154</v>
      </c>
      <c r="B168" s="166"/>
      <c r="C168" s="188"/>
      <c r="D168" s="190"/>
      <c r="E168" s="191"/>
      <c r="F168" s="190" t="str">
        <f t="shared" si="6"/>
        <v/>
      </c>
      <c r="G168" s="192"/>
      <c r="H168" s="193" t="str">
        <f t="shared" ca="1" si="7"/>
        <v/>
      </c>
      <c r="I168" s="195"/>
      <c r="J168" s="195" t="str">
        <f t="shared" si="8"/>
        <v/>
      </c>
      <c r="K168" s="199"/>
      <c r="L168" s="620" t="s">
        <v>226</v>
      </c>
    </row>
    <row r="169" spans="1:12" s="621" customFormat="1" ht="13.8" x14ac:dyDescent="0.3">
      <c r="A169" s="622">
        <v>155</v>
      </c>
      <c r="B169" s="166"/>
      <c r="C169" s="188"/>
      <c r="D169" s="190"/>
      <c r="E169" s="191"/>
      <c r="F169" s="190" t="str">
        <f t="shared" si="6"/>
        <v/>
      </c>
      <c r="G169" s="192"/>
      <c r="H169" s="193" t="str">
        <f t="shared" ca="1" si="7"/>
        <v/>
      </c>
      <c r="I169" s="195"/>
      <c r="J169" s="195" t="str">
        <f t="shared" si="8"/>
        <v/>
      </c>
      <c r="K169" s="199"/>
      <c r="L169" s="620" t="s">
        <v>226</v>
      </c>
    </row>
    <row r="170" spans="1:12" s="621" customFormat="1" ht="13.8" x14ac:dyDescent="0.3">
      <c r="A170" s="622">
        <v>156</v>
      </c>
      <c r="B170" s="166"/>
      <c r="C170" s="188"/>
      <c r="D170" s="190"/>
      <c r="E170" s="191"/>
      <c r="F170" s="190" t="str">
        <f t="shared" si="6"/>
        <v/>
      </c>
      <c r="G170" s="192"/>
      <c r="H170" s="193" t="str">
        <f t="shared" ca="1" si="7"/>
        <v/>
      </c>
      <c r="I170" s="195"/>
      <c r="J170" s="195" t="str">
        <f t="shared" si="8"/>
        <v/>
      </c>
      <c r="K170" s="199"/>
      <c r="L170" s="620" t="s">
        <v>226</v>
      </c>
    </row>
    <row r="171" spans="1:12" s="621" customFormat="1" ht="13.8" x14ac:dyDescent="0.3">
      <c r="A171" s="622">
        <v>157</v>
      </c>
      <c r="B171" s="166"/>
      <c r="C171" s="188"/>
      <c r="D171" s="190"/>
      <c r="E171" s="191"/>
      <c r="F171" s="190" t="str">
        <f t="shared" si="6"/>
        <v/>
      </c>
      <c r="G171" s="192"/>
      <c r="H171" s="193" t="str">
        <f t="shared" ca="1" si="7"/>
        <v/>
      </c>
      <c r="I171" s="195"/>
      <c r="J171" s="195" t="str">
        <f t="shared" si="8"/>
        <v/>
      </c>
      <c r="K171" s="199"/>
      <c r="L171" s="620" t="s">
        <v>226</v>
      </c>
    </row>
    <row r="172" spans="1:12" s="621" customFormat="1" ht="13.8" x14ac:dyDescent="0.3">
      <c r="A172" s="622">
        <v>158</v>
      </c>
      <c r="B172" s="166"/>
      <c r="C172" s="188"/>
      <c r="D172" s="190"/>
      <c r="E172" s="191"/>
      <c r="F172" s="190" t="str">
        <f t="shared" si="6"/>
        <v/>
      </c>
      <c r="G172" s="192"/>
      <c r="H172" s="193" t="str">
        <f t="shared" ca="1" si="7"/>
        <v/>
      </c>
      <c r="I172" s="195"/>
      <c r="J172" s="195" t="str">
        <f t="shared" si="8"/>
        <v/>
      </c>
      <c r="K172" s="199"/>
      <c r="L172" s="620" t="s">
        <v>226</v>
      </c>
    </row>
    <row r="173" spans="1:12" s="621" customFormat="1" ht="13.8" x14ac:dyDescent="0.3">
      <c r="A173" s="622">
        <v>159</v>
      </c>
      <c r="B173" s="166"/>
      <c r="C173" s="188"/>
      <c r="D173" s="190"/>
      <c r="E173" s="191"/>
      <c r="F173" s="190" t="str">
        <f t="shared" si="6"/>
        <v/>
      </c>
      <c r="G173" s="192"/>
      <c r="H173" s="193" t="str">
        <f t="shared" ca="1" si="7"/>
        <v/>
      </c>
      <c r="I173" s="195"/>
      <c r="J173" s="195" t="str">
        <f t="shared" si="8"/>
        <v/>
      </c>
      <c r="K173" s="199"/>
      <c r="L173" s="620" t="s">
        <v>226</v>
      </c>
    </row>
    <row r="174" spans="1:12" s="621" customFormat="1" ht="13.8" x14ac:dyDescent="0.3">
      <c r="A174" s="622">
        <v>160</v>
      </c>
      <c r="B174" s="166"/>
      <c r="C174" s="188"/>
      <c r="D174" s="190"/>
      <c r="E174" s="191"/>
      <c r="F174" s="190" t="str">
        <f t="shared" si="6"/>
        <v/>
      </c>
      <c r="G174" s="192"/>
      <c r="H174" s="193" t="str">
        <f t="shared" ca="1" si="7"/>
        <v/>
      </c>
      <c r="I174" s="195"/>
      <c r="J174" s="195" t="str">
        <f t="shared" si="8"/>
        <v/>
      </c>
      <c r="K174" s="199"/>
      <c r="L174" s="620" t="s">
        <v>226</v>
      </c>
    </row>
    <row r="175" spans="1:12" s="621" customFormat="1" ht="13.8" x14ac:dyDescent="0.3">
      <c r="A175" s="622">
        <v>161</v>
      </c>
      <c r="B175" s="166"/>
      <c r="C175" s="188"/>
      <c r="D175" s="190"/>
      <c r="E175" s="191"/>
      <c r="F175" s="190" t="str">
        <f t="shared" si="6"/>
        <v/>
      </c>
      <c r="G175" s="192"/>
      <c r="H175" s="193" t="str">
        <f t="shared" ca="1" si="7"/>
        <v/>
      </c>
      <c r="I175" s="195"/>
      <c r="J175" s="195" t="str">
        <f t="shared" si="8"/>
        <v/>
      </c>
      <c r="K175" s="199"/>
      <c r="L175" s="620" t="s">
        <v>226</v>
      </c>
    </row>
    <row r="176" spans="1:12" s="621" customFormat="1" ht="13.8" x14ac:dyDescent="0.3">
      <c r="A176" s="622">
        <v>162</v>
      </c>
      <c r="B176" s="166"/>
      <c r="C176" s="188"/>
      <c r="D176" s="190"/>
      <c r="E176" s="191"/>
      <c r="F176" s="190" t="str">
        <f t="shared" si="6"/>
        <v/>
      </c>
      <c r="G176" s="192"/>
      <c r="H176" s="193" t="str">
        <f t="shared" ca="1" si="7"/>
        <v/>
      </c>
      <c r="I176" s="195"/>
      <c r="J176" s="195" t="str">
        <f t="shared" si="8"/>
        <v/>
      </c>
      <c r="K176" s="199"/>
      <c r="L176" s="620" t="s">
        <v>226</v>
      </c>
    </row>
    <row r="177" spans="1:12" s="621" customFormat="1" ht="13.8" x14ac:dyDescent="0.3">
      <c r="A177" s="622">
        <v>163</v>
      </c>
      <c r="B177" s="166"/>
      <c r="C177" s="188"/>
      <c r="D177" s="190"/>
      <c r="E177" s="191"/>
      <c r="F177" s="190" t="str">
        <f t="shared" si="6"/>
        <v/>
      </c>
      <c r="G177" s="192"/>
      <c r="H177" s="193" t="str">
        <f t="shared" ca="1" si="7"/>
        <v/>
      </c>
      <c r="I177" s="195"/>
      <c r="J177" s="195" t="str">
        <f t="shared" si="8"/>
        <v/>
      </c>
      <c r="K177" s="199"/>
      <c r="L177" s="620" t="s">
        <v>226</v>
      </c>
    </row>
    <row r="178" spans="1:12" s="621" customFormat="1" ht="13.8" x14ac:dyDescent="0.3">
      <c r="A178" s="622">
        <v>164</v>
      </c>
      <c r="B178" s="166"/>
      <c r="C178" s="188"/>
      <c r="D178" s="190"/>
      <c r="E178" s="191"/>
      <c r="F178" s="190" t="str">
        <f t="shared" si="6"/>
        <v/>
      </c>
      <c r="G178" s="192"/>
      <c r="H178" s="193" t="str">
        <f t="shared" ca="1" si="7"/>
        <v/>
      </c>
      <c r="I178" s="195"/>
      <c r="J178" s="195" t="str">
        <f t="shared" si="8"/>
        <v/>
      </c>
      <c r="K178" s="199"/>
      <c r="L178" s="620" t="s">
        <v>226</v>
      </c>
    </row>
    <row r="179" spans="1:12" s="621" customFormat="1" ht="13.8" x14ac:dyDescent="0.3">
      <c r="A179" s="622">
        <v>165</v>
      </c>
      <c r="B179" s="166"/>
      <c r="C179" s="188"/>
      <c r="D179" s="190"/>
      <c r="E179" s="191"/>
      <c r="F179" s="190" t="str">
        <f t="shared" si="6"/>
        <v/>
      </c>
      <c r="G179" s="192"/>
      <c r="H179" s="193" t="str">
        <f t="shared" ca="1" si="7"/>
        <v/>
      </c>
      <c r="I179" s="195"/>
      <c r="J179" s="195" t="str">
        <f t="shared" si="8"/>
        <v/>
      </c>
      <c r="K179" s="199"/>
      <c r="L179" s="620" t="s">
        <v>226</v>
      </c>
    </row>
    <row r="180" spans="1:12" s="621" customFormat="1" ht="13.8" x14ac:dyDescent="0.3">
      <c r="A180" s="622">
        <v>166</v>
      </c>
      <c r="B180" s="166"/>
      <c r="C180" s="188"/>
      <c r="D180" s="190"/>
      <c r="E180" s="191"/>
      <c r="F180" s="190" t="str">
        <f t="shared" si="6"/>
        <v/>
      </c>
      <c r="G180" s="192"/>
      <c r="H180" s="193" t="str">
        <f t="shared" ca="1" si="7"/>
        <v/>
      </c>
      <c r="I180" s="195"/>
      <c r="J180" s="195" t="str">
        <f t="shared" si="8"/>
        <v/>
      </c>
      <c r="K180" s="199"/>
      <c r="L180" s="620" t="s">
        <v>226</v>
      </c>
    </row>
    <row r="181" spans="1:12" s="621" customFormat="1" ht="13.8" x14ac:dyDescent="0.3">
      <c r="A181" s="622">
        <v>167</v>
      </c>
      <c r="B181" s="166"/>
      <c r="C181" s="188"/>
      <c r="D181" s="190"/>
      <c r="E181" s="191"/>
      <c r="F181" s="190" t="str">
        <f t="shared" si="6"/>
        <v/>
      </c>
      <c r="G181" s="192"/>
      <c r="H181" s="193" t="str">
        <f t="shared" ca="1" si="7"/>
        <v/>
      </c>
      <c r="I181" s="195"/>
      <c r="J181" s="195" t="str">
        <f t="shared" si="8"/>
        <v/>
      </c>
      <c r="K181" s="199"/>
      <c r="L181" s="620" t="s">
        <v>226</v>
      </c>
    </row>
    <row r="182" spans="1:12" s="621" customFormat="1" ht="13.8" x14ac:dyDescent="0.3">
      <c r="A182" s="622">
        <v>168</v>
      </c>
      <c r="B182" s="166"/>
      <c r="C182" s="188"/>
      <c r="D182" s="190"/>
      <c r="E182" s="191"/>
      <c r="F182" s="190" t="str">
        <f t="shared" si="6"/>
        <v/>
      </c>
      <c r="G182" s="192"/>
      <c r="H182" s="193" t="str">
        <f t="shared" ca="1" si="7"/>
        <v/>
      </c>
      <c r="I182" s="195"/>
      <c r="J182" s="195" t="str">
        <f t="shared" si="8"/>
        <v/>
      </c>
      <c r="K182" s="199"/>
      <c r="L182" s="620" t="s">
        <v>226</v>
      </c>
    </row>
    <row r="183" spans="1:12" s="621" customFormat="1" ht="13.8" x14ac:dyDescent="0.3">
      <c r="A183" s="622">
        <v>169</v>
      </c>
      <c r="B183" s="166"/>
      <c r="C183" s="188"/>
      <c r="D183" s="190"/>
      <c r="E183" s="191"/>
      <c r="F183" s="190" t="str">
        <f t="shared" si="6"/>
        <v/>
      </c>
      <c r="G183" s="192"/>
      <c r="H183" s="193" t="str">
        <f t="shared" ca="1" si="7"/>
        <v/>
      </c>
      <c r="I183" s="195"/>
      <c r="J183" s="195" t="str">
        <f t="shared" si="8"/>
        <v/>
      </c>
      <c r="K183" s="199"/>
      <c r="L183" s="620" t="s">
        <v>226</v>
      </c>
    </row>
    <row r="184" spans="1:12" s="621" customFormat="1" ht="13.8" x14ac:dyDescent="0.3">
      <c r="A184" s="622">
        <v>170</v>
      </c>
      <c r="B184" s="166"/>
      <c r="C184" s="188"/>
      <c r="D184" s="190"/>
      <c r="E184" s="191"/>
      <c r="F184" s="190" t="str">
        <f t="shared" si="6"/>
        <v/>
      </c>
      <c r="G184" s="192"/>
      <c r="H184" s="193" t="str">
        <f t="shared" ca="1" si="7"/>
        <v/>
      </c>
      <c r="I184" s="195"/>
      <c r="J184" s="195" t="str">
        <f t="shared" si="8"/>
        <v/>
      </c>
      <c r="K184" s="199"/>
      <c r="L184" s="620" t="s">
        <v>226</v>
      </c>
    </row>
    <row r="185" spans="1:12" s="621" customFormat="1" ht="13.8" x14ac:dyDescent="0.3">
      <c r="A185" s="622">
        <v>171</v>
      </c>
      <c r="B185" s="166"/>
      <c r="C185" s="188"/>
      <c r="D185" s="190"/>
      <c r="E185" s="191"/>
      <c r="F185" s="190" t="str">
        <f t="shared" si="6"/>
        <v/>
      </c>
      <c r="G185" s="192"/>
      <c r="H185" s="193" t="str">
        <f t="shared" ca="1" si="7"/>
        <v/>
      </c>
      <c r="I185" s="195"/>
      <c r="J185" s="195" t="str">
        <f t="shared" si="8"/>
        <v/>
      </c>
      <c r="K185" s="199"/>
      <c r="L185" s="620" t="s">
        <v>226</v>
      </c>
    </row>
    <row r="186" spans="1:12" s="621" customFormat="1" ht="13.8" x14ac:dyDescent="0.3">
      <c r="A186" s="622">
        <v>172</v>
      </c>
      <c r="B186" s="166"/>
      <c r="C186" s="188"/>
      <c r="D186" s="190"/>
      <c r="E186" s="191"/>
      <c r="F186" s="190" t="str">
        <f t="shared" si="6"/>
        <v/>
      </c>
      <c r="G186" s="192"/>
      <c r="H186" s="193" t="str">
        <f t="shared" ca="1" si="7"/>
        <v/>
      </c>
      <c r="I186" s="195"/>
      <c r="J186" s="195" t="str">
        <f t="shared" si="8"/>
        <v/>
      </c>
      <c r="K186" s="199"/>
      <c r="L186" s="620" t="s">
        <v>226</v>
      </c>
    </row>
    <row r="187" spans="1:12" s="621" customFormat="1" ht="13.8" x14ac:dyDescent="0.3">
      <c r="A187" s="622">
        <v>173</v>
      </c>
      <c r="B187" s="166"/>
      <c r="C187" s="188"/>
      <c r="D187" s="190"/>
      <c r="E187" s="191"/>
      <c r="F187" s="190" t="str">
        <f t="shared" si="6"/>
        <v/>
      </c>
      <c r="G187" s="192"/>
      <c r="H187" s="193" t="str">
        <f t="shared" ca="1" si="7"/>
        <v/>
      </c>
      <c r="I187" s="195"/>
      <c r="J187" s="195" t="str">
        <f t="shared" si="8"/>
        <v/>
      </c>
      <c r="K187" s="199"/>
      <c r="L187" s="620" t="s">
        <v>226</v>
      </c>
    </row>
    <row r="188" spans="1:12" s="621" customFormat="1" ht="13.8" x14ac:dyDescent="0.3">
      <c r="A188" s="622">
        <v>174</v>
      </c>
      <c r="B188" s="166"/>
      <c r="C188" s="188"/>
      <c r="D188" s="190"/>
      <c r="E188" s="191"/>
      <c r="F188" s="190" t="str">
        <f t="shared" si="6"/>
        <v/>
      </c>
      <c r="G188" s="192"/>
      <c r="H188" s="193" t="str">
        <f t="shared" ca="1" si="7"/>
        <v/>
      </c>
      <c r="I188" s="195"/>
      <c r="J188" s="195" t="str">
        <f t="shared" si="8"/>
        <v/>
      </c>
      <c r="K188" s="199"/>
      <c r="L188" s="620" t="s">
        <v>226</v>
      </c>
    </row>
    <row r="189" spans="1:12" s="621" customFormat="1" ht="13.8" x14ac:dyDescent="0.3">
      <c r="A189" s="622">
        <v>175</v>
      </c>
      <c r="B189" s="166"/>
      <c r="C189" s="188"/>
      <c r="D189" s="190"/>
      <c r="E189" s="191"/>
      <c r="F189" s="190" t="str">
        <f t="shared" si="6"/>
        <v/>
      </c>
      <c r="G189" s="192"/>
      <c r="H189" s="193" t="str">
        <f t="shared" ca="1" si="7"/>
        <v/>
      </c>
      <c r="I189" s="195"/>
      <c r="J189" s="195" t="str">
        <f t="shared" si="8"/>
        <v/>
      </c>
      <c r="K189" s="199"/>
      <c r="L189" s="620" t="s">
        <v>226</v>
      </c>
    </row>
    <row r="190" spans="1:12" s="621" customFormat="1" ht="13.8" x14ac:dyDescent="0.3">
      <c r="A190" s="622">
        <v>176</v>
      </c>
      <c r="B190" s="166"/>
      <c r="C190" s="188"/>
      <c r="D190" s="190"/>
      <c r="E190" s="191"/>
      <c r="F190" s="190" t="str">
        <f t="shared" si="6"/>
        <v/>
      </c>
      <c r="G190" s="192"/>
      <c r="H190" s="193" t="str">
        <f t="shared" ca="1" si="7"/>
        <v/>
      </c>
      <c r="I190" s="195"/>
      <c r="J190" s="195" t="str">
        <f t="shared" si="8"/>
        <v/>
      </c>
      <c r="K190" s="199"/>
      <c r="L190" s="620" t="s">
        <v>226</v>
      </c>
    </row>
    <row r="191" spans="1:12" s="621" customFormat="1" ht="13.8" x14ac:dyDescent="0.3">
      <c r="A191" s="622">
        <v>177</v>
      </c>
      <c r="B191" s="166"/>
      <c r="C191" s="188"/>
      <c r="D191" s="190"/>
      <c r="E191" s="191"/>
      <c r="F191" s="190" t="str">
        <f t="shared" si="6"/>
        <v/>
      </c>
      <c r="G191" s="192"/>
      <c r="H191" s="193" t="str">
        <f t="shared" ca="1" si="7"/>
        <v/>
      </c>
      <c r="I191" s="195"/>
      <c r="J191" s="195" t="str">
        <f t="shared" si="8"/>
        <v/>
      </c>
      <c r="K191" s="199"/>
      <c r="L191" s="620" t="s">
        <v>226</v>
      </c>
    </row>
    <row r="192" spans="1:12" s="621" customFormat="1" ht="13.8" x14ac:dyDescent="0.3">
      <c r="A192" s="622">
        <v>178</v>
      </c>
      <c r="B192" s="166"/>
      <c r="C192" s="188"/>
      <c r="D192" s="190"/>
      <c r="E192" s="191"/>
      <c r="F192" s="190" t="str">
        <f t="shared" si="6"/>
        <v/>
      </c>
      <c r="G192" s="192"/>
      <c r="H192" s="193" t="str">
        <f t="shared" ca="1" si="7"/>
        <v/>
      </c>
      <c r="I192" s="195"/>
      <c r="J192" s="195" t="str">
        <f t="shared" si="8"/>
        <v/>
      </c>
      <c r="K192" s="199"/>
      <c r="L192" s="620" t="s">
        <v>226</v>
      </c>
    </row>
    <row r="193" spans="1:12" s="621" customFormat="1" ht="13.8" x14ac:dyDescent="0.3">
      <c r="A193" s="622">
        <v>179</v>
      </c>
      <c r="B193" s="166"/>
      <c r="C193" s="188"/>
      <c r="D193" s="190"/>
      <c r="E193" s="191"/>
      <c r="F193" s="190" t="str">
        <f t="shared" si="6"/>
        <v/>
      </c>
      <c r="G193" s="192"/>
      <c r="H193" s="193" t="str">
        <f t="shared" ca="1" si="7"/>
        <v/>
      </c>
      <c r="I193" s="195"/>
      <c r="J193" s="195" t="str">
        <f t="shared" si="8"/>
        <v/>
      </c>
      <c r="K193" s="199"/>
      <c r="L193" s="620" t="s">
        <v>226</v>
      </c>
    </row>
    <row r="194" spans="1:12" s="621" customFormat="1" ht="13.8" x14ac:dyDescent="0.3">
      <c r="A194" s="622">
        <v>180</v>
      </c>
      <c r="B194" s="166"/>
      <c r="C194" s="188"/>
      <c r="D194" s="190"/>
      <c r="E194" s="191"/>
      <c r="F194" s="190" t="str">
        <f t="shared" si="6"/>
        <v/>
      </c>
      <c r="G194" s="192"/>
      <c r="H194" s="193" t="str">
        <f t="shared" ca="1" si="7"/>
        <v/>
      </c>
      <c r="I194" s="195"/>
      <c r="J194" s="195" t="str">
        <f t="shared" si="8"/>
        <v/>
      </c>
      <c r="K194" s="199"/>
      <c r="L194" s="620" t="s">
        <v>226</v>
      </c>
    </row>
    <row r="195" spans="1:12" s="621" customFormat="1" ht="13.8" x14ac:dyDescent="0.3">
      <c r="A195" s="622">
        <v>181</v>
      </c>
      <c r="B195" s="166"/>
      <c r="C195" s="188"/>
      <c r="D195" s="190"/>
      <c r="E195" s="191"/>
      <c r="F195" s="190" t="str">
        <f t="shared" si="6"/>
        <v/>
      </c>
      <c r="G195" s="192"/>
      <c r="H195" s="193" t="str">
        <f t="shared" ca="1" si="7"/>
        <v/>
      </c>
      <c r="I195" s="195"/>
      <c r="J195" s="195" t="str">
        <f t="shared" si="8"/>
        <v/>
      </c>
      <c r="K195" s="199"/>
      <c r="L195" s="620" t="s">
        <v>226</v>
      </c>
    </row>
    <row r="196" spans="1:12" s="621" customFormat="1" ht="13.8" x14ac:dyDescent="0.3">
      <c r="A196" s="622">
        <v>182</v>
      </c>
      <c r="B196" s="166"/>
      <c r="C196" s="188"/>
      <c r="D196" s="190"/>
      <c r="E196" s="191"/>
      <c r="F196" s="190" t="str">
        <f t="shared" si="6"/>
        <v/>
      </c>
      <c r="G196" s="192"/>
      <c r="H196" s="193" t="str">
        <f t="shared" ca="1" si="7"/>
        <v/>
      </c>
      <c r="I196" s="195"/>
      <c r="J196" s="195" t="str">
        <f t="shared" si="8"/>
        <v/>
      </c>
      <c r="K196" s="199"/>
      <c r="L196" s="620" t="s">
        <v>226</v>
      </c>
    </row>
    <row r="197" spans="1:12" s="621" customFormat="1" ht="13.8" x14ac:dyDescent="0.3">
      <c r="A197" s="622">
        <v>183</v>
      </c>
      <c r="B197" s="166"/>
      <c r="C197" s="188"/>
      <c r="D197" s="190"/>
      <c r="E197" s="191"/>
      <c r="F197" s="190" t="str">
        <f t="shared" si="6"/>
        <v/>
      </c>
      <c r="G197" s="192"/>
      <c r="H197" s="193" t="str">
        <f t="shared" ca="1" si="7"/>
        <v/>
      </c>
      <c r="I197" s="195"/>
      <c r="J197" s="195" t="str">
        <f t="shared" si="8"/>
        <v/>
      </c>
      <c r="K197" s="199"/>
      <c r="L197" s="620" t="s">
        <v>226</v>
      </c>
    </row>
    <row r="198" spans="1:12" s="621" customFormat="1" ht="13.8" x14ac:dyDescent="0.3">
      <c r="A198" s="622">
        <v>184</v>
      </c>
      <c r="B198" s="166"/>
      <c r="C198" s="188"/>
      <c r="D198" s="190"/>
      <c r="E198" s="191"/>
      <c r="F198" s="190" t="str">
        <f t="shared" si="6"/>
        <v/>
      </c>
      <c r="G198" s="192"/>
      <c r="H198" s="193" t="str">
        <f t="shared" ca="1" si="7"/>
        <v/>
      </c>
      <c r="I198" s="195"/>
      <c r="J198" s="195" t="str">
        <f t="shared" si="8"/>
        <v/>
      </c>
      <c r="K198" s="199"/>
      <c r="L198" s="620" t="s">
        <v>226</v>
      </c>
    </row>
    <row r="199" spans="1:12" s="621" customFormat="1" ht="13.8" x14ac:dyDescent="0.3">
      <c r="A199" s="622">
        <v>185</v>
      </c>
      <c r="B199" s="166"/>
      <c r="C199" s="188"/>
      <c r="D199" s="190"/>
      <c r="E199" s="191"/>
      <c r="F199" s="190" t="str">
        <f t="shared" si="6"/>
        <v/>
      </c>
      <c r="G199" s="192"/>
      <c r="H199" s="193" t="str">
        <f t="shared" ca="1" si="7"/>
        <v/>
      </c>
      <c r="I199" s="195"/>
      <c r="J199" s="195" t="str">
        <f t="shared" si="8"/>
        <v/>
      </c>
      <c r="K199" s="199"/>
      <c r="L199" s="620" t="s">
        <v>226</v>
      </c>
    </row>
    <row r="200" spans="1:12" s="621" customFormat="1" ht="13.8" x14ac:dyDescent="0.3">
      <c r="A200" s="622">
        <v>186</v>
      </c>
      <c r="B200" s="166"/>
      <c r="C200" s="188"/>
      <c r="D200" s="190"/>
      <c r="E200" s="191"/>
      <c r="F200" s="190" t="str">
        <f t="shared" si="6"/>
        <v/>
      </c>
      <c r="G200" s="192"/>
      <c r="H200" s="193" t="str">
        <f t="shared" ca="1" si="7"/>
        <v/>
      </c>
      <c r="I200" s="195"/>
      <c r="J200" s="195" t="str">
        <f t="shared" si="8"/>
        <v/>
      </c>
      <c r="K200" s="199"/>
      <c r="L200" s="620" t="s">
        <v>226</v>
      </c>
    </row>
    <row r="201" spans="1:12" s="621" customFormat="1" ht="13.8" x14ac:dyDescent="0.3">
      <c r="A201" s="622">
        <v>187</v>
      </c>
      <c r="B201" s="166"/>
      <c r="C201" s="188"/>
      <c r="D201" s="190"/>
      <c r="E201" s="191"/>
      <c r="F201" s="190" t="str">
        <f t="shared" si="6"/>
        <v/>
      </c>
      <c r="G201" s="192"/>
      <c r="H201" s="193" t="str">
        <f t="shared" ca="1" si="7"/>
        <v/>
      </c>
      <c r="I201" s="195"/>
      <c r="J201" s="195" t="str">
        <f t="shared" si="8"/>
        <v/>
      </c>
      <c r="K201" s="199"/>
      <c r="L201" s="620" t="s">
        <v>226</v>
      </c>
    </row>
    <row r="202" spans="1:12" s="621" customFormat="1" ht="13.8" x14ac:dyDescent="0.3">
      <c r="A202" s="622">
        <v>188</v>
      </c>
      <c r="B202" s="166"/>
      <c r="C202" s="188"/>
      <c r="D202" s="190"/>
      <c r="E202" s="191"/>
      <c r="F202" s="190" t="str">
        <f t="shared" si="6"/>
        <v/>
      </c>
      <c r="G202" s="192"/>
      <c r="H202" s="193" t="str">
        <f t="shared" ca="1" si="7"/>
        <v/>
      </c>
      <c r="I202" s="195"/>
      <c r="J202" s="195" t="str">
        <f t="shared" si="8"/>
        <v/>
      </c>
      <c r="K202" s="199"/>
      <c r="L202" s="620" t="s">
        <v>226</v>
      </c>
    </row>
    <row r="203" spans="1:12" s="621" customFormat="1" ht="13.8" x14ac:dyDescent="0.3">
      <c r="A203" s="622">
        <v>189</v>
      </c>
      <c r="B203" s="166"/>
      <c r="C203" s="188"/>
      <c r="D203" s="190"/>
      <c r="E203" s="191"/>
      <c r="F203" s="190" t="str">
        <f t="shared" si="6"/>
        <v/>
      </c>
      <c r="G203" s="192"/>
      <c r="H203" s="193" t="str">
        <f t="shared" ca="1" si="7"/>
        <v/>
      </c>
      <c r="I203" s="195"/>
      <c r="J203" s="195" t="str">
        <f t="shared" si="8"/>
        <v/>
      </c>
      <c r="K203" s="199"/>
      <c r="L203" s="620" t="s">
        <v>226</v>
      </c>
    </row>
    <row r="204" spans="1:12" s="621" customFormat="1" ht="13.8" x14ac:dyDescent="0.3">
      <c r="A204" s="622">
        <v>190</v>
      </c>
      <c r="B204" s="166"/>
      <c r="C204" s="188"/>
      <c r="D204" s="190"/>
      <c r="E204" s="191"/>
      <c r="F204" s="190" t="str">
        <f t="shared" si="6"/>
        <v/>
      </c>
      <c r="G204" s="192"/>
      <c r="H204" s="193" t="str">
        <f t="shared" ca="1" si="7"/>
        <v/>
      </c>
      <c r="I204" s="195"/>
      <c r="J204" s="195" t="str">
        <f t="shared" si="8"/>
        <v/>
      </c>
      <c r="K204" s="199"/>
      <c r="L204" s="620" t="s">
        <v>226</v>
      </c>
    </row>
    <row r="205" spans="1:12" s="621" customFormat="1" ht="13.8" x14ac:dyDescent="0.3">
      <c r="A205" s="622">
        <v>191</v>
      </c>
      <c r="B205" s="166"/>
      <c r="C205" s="188"/>
      <c r="D205" s="190"/>
      <c r="E205" s="191"/>
      <c r="F205" s="190" t="str">
        <f t="shared" si="6"/>
        <v/>
      </c>
      <c r="G205" s="192"/>
      <c r="H205" s="193" t="str">
        <f t="shared" ca="1" si="7"/>
        <v/>
      </c>
      <c r="I205" s="195"/>
      <c r="J205" s="195" t="str">
        <f t="shared" si="8"/>
        <v/>
      </c>
      <c r="K205" s="199"/>
      <c r="L205" s="620" t="s">
        <v>226</v>
      </c>
    </row>
    <row r="206" spans="1:12" s="621" customFormat="1" ht="13.8" x14ac:dyDescent="0.3">
      <c r="A206" s="622">
        <v>192</v>
      </c>
      <c r="B206" s="166"/>
      <c r="C206" s="188"/>
      <c r="D206" s="190"/>
      <c r="E206" s="191"/>
      <c r="F206" s="190" t="str">
        <f t="shared" si="6"/>
        <v/>
      </c>
      <c r="G206" s="192"/>
      <c r="H206" s="193" t="str">
        <f t="shared" ca="1" si="7"/>
        <v/>
      </c>
      <c r="I206" s="195"/>
      <c r="J206" s="195" t="str">
        <f t="shared" si="8"/>
        <v/>
      </c>
      <c r="K206" s="199"/>
      <c r="L206" s="620" t="s">
        <v>226</v>
      </c>
    </row>
    <row r="207" spans="1:12" s="621" customFormat="1" ht="13.8" x14ac:dyDescent="0.3">
      <c r="A207" s="622">
        <v>193</v>
      </c>
      <c r="B207" s="166"/>
      <c r="C207" s="188"/>
      <c r="D207" s="190"/>
      <c r="E207" s="191"/>
      <c r="F207" s="190" t="str">
        <f t="shared" ref="F207:F270" si="9">IF(E207&lt;&gt;"",D207-1+INT(E207),"")</f>
        <v/>
      </c>
      <c r="G207" s="192"/>
      <c r="H207" s="193" t="str">
        <f t="shared" ref="H207:H228" ca="1" si="10">IFERROR(
IF(J207=1,100%,
IF(F207&lt;&gt;"",
IF(F207&gt;TODAY(),
IF((TODAY()-D207)/(F207-D207)&gt;0,(TODAY()-D207)/(F207-D207),0),0%),"")),0)</f>
        <v/>
      </c>
      <c r="I207" s="195"/>
      <c r="J207" s="195" t="str">
        <f t="shared" si="8"/>
        <v/>
      </c>
      <c r="K207" s="199"/>
      <c r="L207" s="620" t="s">
        <v>226</v>
      </c>
    </row>
    <row r="208" spans="1:12" s="621" customFormat="1" ht="13.8" x14ac:dyDescent="0.3">
      <c r="A208" s="622">
        <v>194</v>
      </c>
      <c r="B208" s="166"/>
      <c r="C208" s="188"/>
      <c r="D208" s="190"/>
      <c r="E208" s="191"/>
      <c r="F208" s="190" t="str">
        <f t="shared" si="9"/>
        <v/>
      </c>
      <c r="G208" s="192"/>
      <c r="H208" s="193" t="str">
        <f t="shared" ca="1" si="10"/>
        <v/>
      </c>
      <c r="I208" s="195"/>
      <c r="J208" s="195" t="str">
        <f t="shared" si="8"/>
        <v/>
      </c>
      <c r="K208" s="199"/>
      <c r="L208" s="620" t="s">
        <v>226</v>
      </c>
    </row>
    <row r="209" spans="1:12" s="621" customFormat="1" ht="13.8" x14ac:dyDescent="0.3">
      <c r="A209" s="622">
        <v>195</v>
      </c>
      <c r="B209" s="166"/>
      <c r="C209" s="188"/>
      <c r="D209" s="190"/>
      <c r="E209" s="191"/>
      <c r="F209" s="190" t="str">
        <f t="shared" si="9"/>
        <v/>
      </c>
      <c r="G209" s="192"/>
      <c r="H209" s="193" t="str">
        <f t="shared" ca="1" si="10"/>
        <v/>
      </c>
      <c r="I209" s="195"/>
      <c r="J209" s="195" t="str">
        <f t="shared" ref="J209:J272" si="11">IF(K209&lt;&gt;0,3,"")</f>
        <v/>
      </c>
      <c r="K209" s="199"/>
      <c r="L209" s="620" t="s">
        <v>226</v>
      </c>
    </row>
    <row r="210" spans="1:12" s="621" customFormat="1" ht="13.8" x14ac:dyDescent="0.3">
      <c r="A210" s="622">
        <v>196</v>
      </c>
      <c r="B210" s="166"/>
      <c r="C210" s="188"/>
      <c r="D210" s="190"/>
      <c r="E210" s="191"/>
      <c r="F210" s="190" t="str">
        <f t="shared" si="9"/>
        <v/>
      </c>
      <c r="G210" s="192"/>
      <c r="H210" s="193" t="str">
        <f t="shared" ca="1" si="10"/>
        <v/>
      </c>
      <c r="I210" s="195"/>
      <c r="J210" s="195" t="str">
        <f t="shared" si="11"/>
        <v/>
      </c>
      <c r="K210" s="199"/>
      <c r="L210" s="620" t="s">
        <v>226</v>
      </c>
    </row>
    <row r="211" spans="1:12" s="621" customFormat="1" ht="13.8" x14ac:dyDescent="0.3">
      <c r="A211" s="622">
        <v>197</v>
      </c>
      <c r="B211" s="166"/>
      <c r="C211" s="188"/>
      <c r="D211" s="190"/>
      <c r="E211" s="191"/>
      <c r="F211" s="190" t="str">
        <f t="shared" si="9"/>
        <v/>
      </c>
      <c r="G211" s="192"/>
      <c r="H211" s="193" t="str">
        <f t="shared" ca="1" si="10"/>
        <v/>
      </c>
      <c r="I211" s="195"/>
      <c r="J211" s="195" t="str">
        <f t="shared" si="11"/>
        <v/>
      </c>
      <c r="K211" s="199"/>
      <c r="L211" s="620" t="s">
        <v>226</v>
      </c>
    </row>
    <row r="212" spans="1:12" s="621" customFormat="1" ht="13.8" x14ac:dyDescent="0.3">
      <c r="A212" s="622">
        <v>198</v>
      </c>
      <c r="B212" s="166"/>
      <c r="C212" s="188"/>
      <c r="D212" s="190"/>
      <c r="E212" s="191"/>
      <c r="F212" s="190" t="str">
        <f t="shared" si="9"/>
        <v/>
      </c>
      <c r="G212" s="192"/>
      <c r="H212" s="193" t="str">
        <f t="shared" ca="1" si="10"/>
        <v/>
      </c>
      <c r="I212" s="195"/>
      <c r="J212" s="195" t="str">
        <f t="shared" si="11"/>
        <v/>
      </c>
      <c r="K212" s="199"/>
      <c r="L212" s="620" t="s">
        <v>226</v>
      </c>
    </row>
    <row r="213" spans="1:12" s="621" customFormat="1" ht="13.8" x14ac:dyDescent="0.3">
      <c r="A213" s="622">
        <v>199</v>
      </c>
      <c r="B213" s="166"/>
      <c r="C213" s="188"/>
      <c r="D213" s="190"/>
      <c r="E213" s="191"/>
      <c r="F213" s="190" t="str">
        <f t="shared" si="9"/>
        <v/>
      </c>
      <c r="G213" s="192"/>
      <c r="H213" s="193" t="str">
        <f t="shared" ca="1" si="10"/>
        <v/>
      </c>
      <c r="I213" s="195"/>
      <c r="J213" s="195" t="str">
        <f t="shared" si="11"/>
        <v/>
      </c>
      <c r="K213" s="199"/>
      <c r="L213" s="620" t="s">
        <v>226</v>
      </c>
    </row>
    <row r="214" spans="1:12" s="621" customFormat="1" ht="13.8" x14ac:dyDescent="0.3">
      <c r="A214" s="622">
        <v>200</v>
      </c>
      <c r="B214" s="166"/>
      <c r="C214" s="188"/>
      <c r="D214" s="190"/>
      <c r="E214" s="191"/>
      <c r="F214" s="190" t="str">
        <f t="shared" si="9"/>
        <v/>
      </c>
      <c r="G214" s="192"/>
      <c r="H214" s="193" t="str">
        <f t="shared" ca="1" si="10"/>
        <v/>
      </c>
      <c r="I214" s="195"/>
      <c r="J214" s="195" t="str">
        <f t="shared" si="11"/>
        <v/>
      </c>
      <c r="K214" s="199"/>
      <c r="L214" s="620" t="s">
        <v>226</v>
      </c>
    </row>
    <row r="215" spans="1:12" s="621" customFormat="1" ht="13.8" x14ac:dyDescent="0.3">
      <c r="A215" s="622">
        <v>201</v>
      </c>
      <c r="B215" s="166"/>
      <c r="C215" s="188"/>
      <c r="D215" s="190"/>
      <c r="E215" s="191"/>
      <c r="F215" s="190" t="str">
        <f t="shared" si="9"/>
        <v/>
      </c>
      <c r="G215" s="192"/>
      <c r="H215" s="193" t="str">
        <f t="shared" ca="1" si="10"/>
        <v/>
      </c>
      <c r="I215" s="195"/>
      <c r="J215" s="195" t="str">
        <f t="shared" si="11"/>
        <v/>
      </c>
      <c r="K215" s="199"/>
      <c r="L215" s="620" t="s">
        <v>226</v>
      </c>
    </row>
    <row r="216" spans="1:12" s="621" customFormat="1" ht="13.8" x14ac:dyDescent="0.3">
      <c r="A216" s="622">
        <v>202</v>
      </c>
      <c r="B216" s="166"/>
      <c r="C216" s="188"/>
      <c r="D216" s="190"/>
      <c r="E216" s="191"/>
      <c r="F216" s="190" t="str">
        <f t="shared" si="9"/>
        <v/>
      </c>
      <c r="G216" s="192"/>
      <c r="H216" s="193" t="str">
        <f t="shared" ca="1" si="10"/>
        <v/>
      </c>
      <c r="I216" s="195"/>
      <c r="J216" s="195" t="str">
        <f t="shared" si="11"/>
        <v/>
      </c>
      <c r="K216" s="199"/>
      <c r="L216" s="620" t="s">
        <v>226</v>
      </c>
    </row>
    <row r="217" spans="1:12" s="621" customFormat="1" ht="13.8" x14ac:dyDescent="0.3">
      <c r="A217" s="622">
        <v>203</v>
      </c>
      <c r="B217" s="166"/>
      <c r="C217" s="188"/>
      <c r="D217" s="190"/>
      <c r="E217" s="191"/>
      <c r="F217" s="190" t="str">
        <f t="shared" si="9"/>
        <v/>
      </c>
      <c r="G217" s="192"/>
      <c r="H217" s="193" t="str">
        <f t="shared" ca="1" si="10"/>
        <v/>
      </c>
      <c r="I217" s="195"/>
      <c r="J217" s="195" t="str">
        <f t="shared" si="11"/>
        <v/>
      </c>
      <c r="K217" s="199"/>
      <c r="L217" s="620" t="s">
        <v>226</v>
      </c>
    </row>
    <row r="218" spans="1:12" s="621" customFormat="1" ht="13.8" x14ac:dyDescent="0.3">
      <c r="A218" s="622">
        <v>204</v>
      </c>
      <c r="B218" s="166"/>
      <c r="C218" s="188"/>
      <c r="D218" s="190"/>
      <c r="E218" s="191"/>
      <c r="F218" s="190" t="str">
        <f t="shared" si="9"/>
        <v/>
      </c>
      <c r="G218" s="192"/>
      <c r="H218" s="193" t="str">
        <f t="shared" ca="1" si="10"/>
        <v/>
      </c>
      <c r="I218" s="195"/>
      <c r="J218" s="195" t="str">
        <f t="shared" si="11"/>
        <v/>
      </c>
      <c r="K218" s="199"/>
      <c r="L218" s="620" t="s">
        <v>226</v>
      </c>
    </row>
    <row r="219" spans="1:12" s="621" customFormat="1" ht="13.8" x14ac:dyDescent="0.3">
      <c r="A219" s="622">
        <v>205</v>
      </c>
      <c r="B219" s="166"/>
      <c r="C219" s="188"/>
      <c r="D219" s="190"/>
      <c r="E219" s="191"/>
      <c r="F219" s="190" t="str">
        <f t="shared" si="9"/>
        <v/>
      </c>
      <c r="G219" s="192"/>
      <c r="H219" s="193" t="str">
        <f t="shared" ca="1" si="10"/>
        <v/>
      </c>
      <c r="I219" s="195"/>
      <c r="J219" s="195" t="str">
        <f t="shared" si="11"/>
        <v/>
      </c>
      <c r="K219" s="199"/>
      <c r="L219" s="620" t="s">
        <v>226</v>
      </c>
    </row>
    <row r="220" spans="1:12" s="621" customFormat="1" ht="13.8" x14ac:dyDescent="0.3">
      <c r="A220" s="622">
        <v>206</v>
      </c>
      <c r="B220" s="166"/>
      <c r="C220" s="188"/>
      <c r="D220" s="190"/>
      <c r="E220" s="191"/>
      <c r="F220" s="190" t="str">
        <f t="shared" si="9"/>
        <v/>
      </c>
      <c r="G220" s="192"/>
      <c r="H220" s="193" t="str">
        <f t="shared" ca="1" si="10"/>
        <v/>
      </c>
      <c r="I220" s="195"/>
      <c r="J220" s="195" t="str">
        <f t="shared" si="11"/>
        <v/>
      </c>
      <c r="K220" s="199"/>
      <c r="L220" s="620" t="s">
        <v>226</v>
      </c>
    </row>
    <row r="221" spans="1:12" s="621" customFormat="1" ht="13.8" x14ac:dyDescent="0.3">
      <c r="A221" s="622">
        <v>207</v>
      </c>
      <c r="B221" s="166"/>
      <c r="C221" s="188"/>
      <c r="D221" s="190"/>
      <c r="E221" s="191"/>
      <c r="F221" s="190" t="str">
        <f t="shared" si="9"/>
        <v/>
      </c>
      <c r="G221" s="192"/>
      <c r="H221" s="193" t="str">
        <f t="shared" ca="1" si="10"/>
        <v/>
      </c>
      <c r="I221" s="195"/>
      <c r="J221" s="195" t="str">
        <f t="shared" si="11"/>
        <v/>
      </c>
      <c r="K221" s="199"/>
      <c r="L221" s="620" t="s">
        <v>226</v>
      </c>
    </row>
    <row r="222" spans="1:12" s="621" customFormat="1" ht="13.8" x14ac:dyDescent="0.3">
      <c r="A222" s="622">
        <v>208</v>
      </c>
      <c r="B222" s="166"/>
      <c r="C222" s="188"/>
      <c r="D222" s="190"/>
      <c r="E222" s="191"/>
      <c r="F222" s="190" t="str">
        <f t="shared" si="9"/>
        <v/>
      </c>
      <c r="G222" s="192"/>
      <c r="H222" s="193" t="str">
        <f t="shared" ca="1" si="10"/>
        <v/>
      </c>
      <c r="I222" s="195"/>
      <c r="J222" s="195" t="str">
        <f t="shared" si="11"/>
        <v/>
      </c>
      <c r="K222" s="199"/>
      <c r="L222" s="620" t="s">
        <v>226</v>
      </c>
    </row>
    <row r="223" spans="1:12" s="621" customFormat="1" ht="13.8" x14ac:dyDescent="0.3">
      <c r="A223" s="622">
        <v>209</v>
      </c>
      <c r="B223" s="166"/>
      <c r="C223" s="188"/>
      <c r="D223" s="190"/>
      <c r="E223" s="191"/>
      <c r="F223" s="190" t="str">
        <f t="shared" si="9"/>
        <v/>
      </c>
      <c r="G223" s="192"/>
      <c r="H223" s="193" t="str">
        <f t="shared" ca="1" si="10"/>
        <v/>
      </c>
      <c r="I223" s="195"/>
      <c r="J223" s="195" t="str">
        <f t="shared" si="11"/>
        <v/>
      </c>
      <c r="K223" s="199"/>
      <c r="L223" s="620" t="s">
        <v>226</v>
      </c>
    </row>
    <row r="224" spans="1:12" s="621" customFormat="1" ht="13.8" x14ac:dyDescent="0.3">
      <c r="A224" s="622">
        <v>210</v>
      </c>
      <c r="B224" s="166"/>
      <c r="C224" s="188"/>
      <c r="D224" s="190"/>
      <c r="E224" s="191"/>
      <c r="F224" s="190" t="str">
        <f t="shared" si="9"/>
        <v/>
      </c>
      <c r="G224" s="192"/>
      <c r="H224" s="193" t="str">
        <f t="shared" ca="1" si="10"/>
        <v/>
      </c>
      <c r="I224" s="195"/>
      <c r="J224" s="195" t="str">
        <f t="shared" si="11"/>
        <v/>
      </c>
      <c r="K224" s="199"/>
      <c r="L224" s="620" t="s">
        <v>226</v>
      </c>
    </row>
    <row r="225" spans="1:12" s="621" customFormat="1" ht="13.8" x14ac:dyDescent="0.3">
      <c r="A225" s="622">
        <v>211</v>
      </c>
      <c r="B225" s="166"/>
      <c r="C225" s="188"/>
      <c r="D225" s="190"/>
      <c r="E225" s="191"/>
      <c r="F225" s="190" t="str">
        <f t="shared" si="9"/>
        <v/>
      </c>
      <c r="G225" s="192"/>
      <c r="H225" s="193" t="str">
        <f t="shared" ca="1" si="10"/>
        <v/>
      </c>
      <c r="I225" s="195"/>
      <c r="J225" s="195" t="str">
        <f t="shared" si="11"/>
        <v/>
      </c>
      <c r="K225" s="199"/>
      <c r="L225" s="620" t="s">
        <v>226</v>
      </c>
    </row>
    <row r="226" spans="1:12" s="621" customFormat="1" ht="13.8" x14ac:dyDescent="0.3">
      <c r="A226" s="622">
        <v>212</v>
      </c>
      <c r="B226" s="166"/>
      <c r="C226" s="202"/>
      <c r="D226" s="190"/>
      <c r="E226" s="191"/>
      <c r="F226" s="190" t="str">
        <f t="shared" si="9"/>
        <v/>
      </c>
      <c r="G226" s="192"/>
      <c r="H226" s="193" t="str">
        <f t="shared" ca="1" si="10"/>
        <v/>
      </c>
      <c r="I226" s="195"/>
      <c r="J226" s="195" t="str">
        <f t="shared" si="11"/>
        <v/>
      </c>
      <c r="K226" s="199"/>
      <c r="L226" s="620" t="s">
        <v>226</v>
      </c>
    </row>
    <row r="227" spans="1:12" s="621" customFormat="1" ht="13.8" x14ac:dyDescent="0.3">
      <c r="A227" s="622">
        <v>213</v>
      </c>
      <c r="B227" s="166"/>
      <c r="C227" s="188"/>
      <c r="D227" s="190"/>
      <c r="E227" s="191"/>
      <c r="F227" s="190" t="str">
        <f t="shared" si="9"/>
        <v/>
      </c>
      <c r="G227" s="192"/>
      <c r="H227" s="193" t="str">
        <f t="shared" ca="1" si="10"/>
        <v/>
      </c>
      <c r="I227" s="195"/>
      <c r="J227" s="195" t="str">
        <f t="shared" si="11"/>
        <v/>
      </c>
      <c r="K227" s="199"/>
      <c r="L227" s="620" t="s">
        <v>226</v>
      </c>
    </row>
    <row r="228" spans="1:12" s="621" customFormat="1" ht="13.8" x14ac:dyDescent="0.3">
      <c r="A228" s="622">
        <v>214</v>
      </c>
      <c r="B228" s="166"/>
      <c r="C228" s="202"/>
      <c r="D228" s="190"/>
      <c r="E228" s="191"/>
      <c r="F228" s="190" t="str">
        <f t="shared" si="9"/>
        <v/>
      </c>
      <c r="G228" s="192"/>
      <c r="H228" s="193" t="str">
        <f t="shared" ca="1" si="10"/>
        <v/>
      </c>
      <c r="I228" s="195"/>
      <c r="J228" s="195" t="str">
        <f t="shared" si="11"/>
        <v/>
      </c>
      <c r="K228" s="199"/>
      <c r="L228" s="620" t="s">
        <v>226</v>
      </c>
    </row>
    <row r="229" spans="1:12" x14ac:dyDescent="0.3">
      <c r="B229" s="520" t="s">
        <v>1705</v>
      </c>
      <c r="C229" s="623"/>
      <c r="D229" s="623"/>
      <c r="E229" s="623"/>
      <c r="F229" s="623"/>
      <c r="G229" s="623"/>
      <c r="H229" s="623"/>
      <c r="I229" s="624"/>
      <c r="J229" s="189"/>
      <c r="K229" s="623"/>
      <c r="L229" s="6"/>
    </row>
  </sheetData>
  <sheetProtection sheet="1" objects="1" scenarios="1" formatCells="0" formatColumns="0" formatRows="0" insertHyperlinks="0" sort="0" autoFilter="0"/>
  <autoFilter ref="B14:K229" xr:uid="{00000000-0009-0000-0000-000005000000}"/>
  <sortState xmlns:xlrd2="http://schemas.microsoft.com/office/spreadsheetml/2017/richdata2" ref="B15:TO228">
    <sortCondition ref="B15:B228"/>
    <sortCondition ref="D15:D228"/>
    <sortCondition ref="F15:F228"/>
  </sortState>
  <mergeCells count="18">
    <mergeCell ref="D3:G3"/>
    <mergeCell ref="D4:G4"/>
    <mergeCell ref="J5:K5"/>
    <mergeCell ref="J12:J13"/>
    <mergeCell ref="C6:C7"/>
    <mergeCell ref="D6:L8"/>
    <mergeCell ref="K12:K13"/>
    <mergeCell ref="L12:L13"/>
    <mergeCell ref="G12:G13"/>
    <mergeCell ref="I12:I13"/>
    <mergeCell ref="C5:I5"/>
    <mergeCell ref="E12:E13"/>
    <mergeCell ref="H12:H13"/>
    <mergeCell ref="A12:A13"/>
    <mergeCell ref="B12:B13"/>
    <mergeCell ref="C12:C13"/>
    <mergeCell ref="D12:D13"/>
    <mergeCell ref="F12:F13"/>
  </mergeCells>
  <conditionalFormatting sqref="B9:B10 M9:XFD10">
    <cfRule type="containsText" dxfId="203" priority="1341" operator="containsText" text="Ende Projekt">
      <formula>NOT(ISERROR(SEARCH("Ende Projekt",B9)))</formula>
    </cfRule>
  </conditionalFormatting>
  <conditionalFormatting sqref="L15:L172 L193 L195 L197 L199 L201 L203 L205 L207 L209 L211 L213 L215 L217 L219 L221 L223 L225 L227">
    <cfRule type="cellIs" dxfId="202" priority="1261" operator="lessThan">
      <formula>0</formula>
    </cfRule>
  </conditionalFormatting>
  <conditionalFormatting sqref="L173">
    <cfRule type="cellIs" dxfId="201" priority="701" operator="lessThan">
      <formula>0</formula>
    </cfRule>
  </conditionalFormatting>
  <conditionalFormatting sqref="L174">
    <cfRule type="cellIs" dxfId="200" priority="680" operator="lessThan">
      <formula>0</formula>
    </cfRule>
  </conditionalFormatting>
  <conditionalFormatting sqref="L176">
    <cfRule type="cellIs" dxfId="199" priority="659" operator="lessThan">
      <formula>0</formula>
    </cfRule>
  </conditionalFormatting>
  <conditionalFormatting sqref="L175">
    <cfRule type="cellIs" dxfId="198" priority="638" operator="lessThan">
      <formula>0</formula>
    </cfRule>
  </conditionalFormatting>
  <conditionalFormatting sqref="L177">
    <cfRule type="cellIs" dxfId="197" priority="617" operator="lessThan">
      <formula>0</formula>
    </cfRule>
  </conditionalFormatting>
  <conditionalFormatting sqref="L178">
    <cfRule type="cellIs" dxfId="196" priority="596" operator="lessThan">
      <formula>0</formula>
    </cfRule>
  </conditionalFormatting>
  <conditionalFormatting sqref="L179">
    <cfRule type="cellIs" dxfId="195" priority="575" operator="lessThan">
      <formula>0</formula>
    </cfRule>
  </conditionalFormatting>
  <conditionalFormatting sqref="L180">
    <cfRule type="cellIs" dxfId="194" priority="554" operator="lessThan">
      <formula>0</formula>
    </cfRule>
  </conditionalFormatting>
  <conditionalFormatting sqref="L181">
    <cfRule type="cellIs" dxfId="193" priority="533" operator="lessThan">
      <formula>0</formula>
    </cfRule>
  </conditionalFormatting>
  <conditionalFormatting sqref="L182">
    <cfRule type="cellIs" dxfId="192" priority="512" operator="lessThan">
      <formula>0</formula>
    </cfRule>
  </conditionalFormatting>
  <conditionalFormatting sqref="L183">
    <cfRule type="cellIs" dxfId="191" priority="491" operator="lessThan">
      <formula>0</formula>
    </cfRule>
  </conditionalFormatting>
  <conditionalFormatting sqref="L184">
    <cfRule type="cellIs" dxfId="190" priority="470" operator="lessThan">
      <formula>0</formula>
    </cfRule>
  </conditionalFormatting>
  <conditionalFormatting sqref="L185">
    <cfRule type="cellIs" dxfId="189" priority="449" operator="lessThan">
      <formula>0</formula>
    </cfRule>
  </conditionalFormatting>
  <conditionalFormatting sqref="L186">
    <cfRule type="cellIs" dxfId="188" priority="428" operator="lessThan">
      <formula>0</formula>
    </cfRule>
  </conditionalFormatting>
  <conditionalFormatting sqref="L187">
    <cfRule type="cellIs" dxfId="187" priority="407" operator="lessThan">
      <formula>0</formula>
    </cfRule>
  </conditionalFormatting>
  <conditionalFormatting sqref="L188">
    <cfRule type="cellIs" dxfId="186" priority="386" operator="lessThan">
      <formula>0</formula>
    </cfRule>
  </conditionalFormatting>
  <conditionalFormatting sqref="L189">
    <cfRule type="cellIs" dxfId="185" priority="365" operator="lessThan">
      <formula>0</formula>
    </cfRule>
  </conditionalFormatting>
  <conditionalFormatting sqref="L190">
    <cfRule type="cellIs" dxfId="184" priority="344" operator="lessThan">
      <formula>0</formula>
    </cfRule>
  </conditionalFormatting>
  <conditionalFormatting sqref="L191">
    <cfRule type="cellIs" dxfId="183" priority="323" operator="lessThan">
      <formula>0</formula>
    </cfRule>
  </conditionalFormatting>
  <conditionalFormatting sqref="L192 L194 L196 L198 L200 L202 L204 L206 L208 L210 L212 L214 L216 L218 L220 L222 L224 L226">
    <cfRule type="cellIs" dxfId="182" priority="302" operator="lessThan">
      <formula>0</formula>
    </cfRule>
  </conditionalFormatting>
  <conditionalFormatting sqref="K49:K227">
    <cfRule type="expression" dxfId="181" priority="292">
      <formula>AND(ISTEXT($G49),ISBLANK($K49))</formula>
    </cfRule>
  </conditionalFormatting>
  <conditionalFormatting sqref="J15:J228">
    <cfRule type="expression" dxfId="180" priority="288">
      <formula>AND($K15&lt;&gt;"",ISBLANK($J15))</formula>
    </cfRule>
  </conditionalFormatting>
  <conditionalFormatting sqref="L228">
    <cfRule type="cellIs" dxfId="179" priority="72" operator="lessThan">
      <formula>0</formula>
    </cfRule>
  </conditionalFormatting>
  <conditionalFormatting sqref="C228">
    <cfRule type="expression" dxfId="178" priority="71">
      <formula>AND(ISNUMBER($K228),ISBLANK($C228))</formula>
    </cfRule>
  </conditionalFormatting>
  <conditionalFormatting sqref="K228">
    <cfRule type="expression" dxfId="177" priority="70">
      <formula>AND(ISTEXT($G228),ISBLANK($K228))</formula>
    </cfRule>
  </conditionalFormatting>
  <conditionalFormatting sqref="J228">
    <cfRule type="expression" dxfId="176" priority="69">
      <formula>AND(ISTEXT($C228),ISBLANK($J228))</formula>
    </cfRule>
  </conditionalFormatting>
  <conditionalFormatting sqref="F228">
    <cfRule type="expression" dxfId="175" priority="66">
      <formula>AND($D228&lt;&gt;"",$J228=2,$F228&lt;TODAY())</formula>
    </cfRule>
    <cfRule type="expression" dxfId="174" priority="67">
      <formula>AND(D228&lt;&gt;"",J228&lt;&gt;1,F228&lt;TODAY())</formula>
    </cfRule>
    <cfRule type="expression" dxfId="173" priority="68">
      <formula>AND(D228&lt;&gt;"",J228&lt;&gt;1,F228&lt;(TODAY()+7))</formula>
    </cfRule>
  </conditionalFormatting>
  <conditionalFormatting sqref="A15:A228">
    <cfRule type="expression" dxfId="172" priority="58">
      <formula>AND(ISNUMBER($K15),ISBLANK($C15))</formula>
    </cfRule>
  </conditionalFormatting>
  <conditionalFormatting sqref="A15:A228">
    <cfRule type="expression" dxfId="171" priority="55">
      <formula>D15=TODAY()</formula>
    </cfRule>
    <cfRule type="expression" dxfId="170" priority="56">
      <formula>D15&gt;=TODAY()</formula>
    </cfRule>
    <cfRule type="expression" dxfId="169" priority="57">
      <formula>OR(D15&gt;=TODAY(),F15&gt;TODAY())</formula>
    </cfRule>
  </conditionalFormatting>
  <conditionalFormatting sqref="B15:B228">
    <cfRule type="expression" dxfId="168" priority="49">
      <formula>AND(ISNUMBER($K15),ISBLANK($C15))</formula>
    </cfRule>
  </conditionalFormatting>
  <conditionalFormatting sqref="H14">
    <cfRule type="expression" dxfId="167" priority="44">
      <formula>AND(ISBLANK($G14),ISNUMBER($K14))</formula>
    </cfRule>
  </conditionalFormatting>
  <conditionalFormatting sqref="H9">
    <cfRule type="expression" dxfId="166" priority="33">
      <formula>AND(ISBLANK($G9),ISNUMBER($K9))</formula>
    </cfRule>
  </conditionalFormatting>
  <conditionalFormatting sqref="H9">
    <cfRule type="dataBar" priority="32">
      <dataBar>
        <cfvo type="min"/>
        <cfvo type="max"/>
        <color theme="7" tint="0.39997558519241921"/>
      </dataBar>
      <extLst>
        <ext xmlns:x14="http://schemas.microsoft.com/office/spreadsheetml/2009/9/main" uri="{B025F937-C7B1-47D3-B67F-A62EFF666E3E}">
          <x14:id>{735B13D6-E8F4-4FC0-8006-31E550BB3E1B}</x14:id>
        </ext>
      </extLst>
    </cfRule>
  </conditionalFormatting>
  <conditionalFormatting sqref="H15:H228 H9">
    <cfRule type="dataBar" priority="28">
      <dataBar>
        <cfvo type="min"/>
        <cfvo type="max"/>
        <color theme="7" tint="0.39997558519241921"/>
      </dataBar>
      <extLst>
        <ext xmlns:x14="http://schemas.microsoft.com/office/spreadsheetml/2009/9/main" uri="{B025F937-C7B1-47D3-B67F-A62EFF666E3E}">
          <x14:id>{B330E5BA-622A-4EAE-905A-FAB2AD6AB56D}</x14:id>
        </ext>
      </extLst>
    </cfRule>
  </conditionalFormatting>
  <conditionalFormatting sqref="B49:K228 B15:B48 H15:J48">
    <cfRule type="expression" dxfId="165" priority="289">
      <formula>AND(MOD(ROW(B1),2)=1,$L15="b")</formula>
    </cfRule>
    <cfRule type="expression" dxfId="164" priority="291">
      <formula>AND(MOD(ROW(B2),2)=1,$L15="b")</formula>
    </cfRule>
  </conditionalFormatting>
  <conditionalFormatting sqref="K12:L13 E12:E13">
    <cfRule type="expression" dxfId="163" priority="19952">
      <formula>#REF!&lt;0</formula>
    </cfRule>
  </conditionalFormatting>
  <conditionalFormatting sqref="H14">
    <cfRule type="expression" dxfId="162" priority="19955">
      <formula>AND(MOD(ROW(F1048569),2)=1,$L14="b")</formula>
    </cfRule>
    <cfRule type="expression" dxfId="161" priority="19956">
      <formula>AND(MOD(ROW(F1),2)=1,$L14="b")</formula>
    </cfRule>
  </conditionalFormatting>
  <conditionalFormatting sqref="H9">
    <cfRule type="expression" dxfId="160" priority="19957">
      <formula>AND(MOD(ROW(F1048564),2)=1,$L9="b")</formula>
    </cfRule>
    <cfRule type="expression" dxfId="159" priority="19958">
      <formula>AND(MOD(ROW(F1048565),2)=1,$L9="b")</formula>
    </cfRule>
  </conditionalFormatting>
  <conditionalFormatting sqref="F49:F228">
    <cfRule type="expression" dxfId="158" priority="27">
      <formula>AND($D49&lt;&gt;"",$J49=2,$F49&lt;TODAY())</formula>
    </cfRule>
    <cfRule type="expression" dxfId="157" priority="30">
      <formula>AND(D49&lt;&gt;"",J49&lt;&gt;1,F49&lt;TODAY())</formula>
    </cfRule>
    <cfRule type="expression" dxfId="156" priority="31">
      <formula>AND(D49&lt;&gt;"",J49&lt;&gt;1,F49&lt;(TODAY()+7))</formula>
    </cfRule>
  </conditionalFormatting>
  <conditionalFormatting sqref="C49:C228">
    <cfRule type="expression" dxfId="155" priority="22">
      <formula>AND(ISNUMBER($K49),ISBLANK($C49))</formula>
    </cfRule>
  </conditionalFormatting>
  <conditionalFormatting sqref="G49:G228">
    <cfRule type="expression" dxfId="154" priority="21">
      <formula>AND(ISNUMBER($K49),ISBLANK(G49))</formula>
    </cfRule>
  </conditionalFormatting>
  <conditionalFormatting sqref="C16:G48 C15 F15:G15">
    <cfRule type="expression" dxfId="153" priority="19">
      <formula>AND(MOD(ROW(C1),2)=1,$L15="b")</formula>
    </cfRule>
    <cfRule type="expression" dxfId="152" priority="20">
      <formula>AND(MOD(ROW(C2),2)=1,$L15="b")</formula>
    </cfRule>
  </conditionalFormatting>
  <conditionalFormatting sqref="F15:F48">
    <cfRule type="expression" dxfId="151" priority="15">
      <formula>AND($D15&lt;&gt;"",$J15=2,$F15&lt;TODAY())</formula>
    </cfRule>
    <cfRule type="expression" dxfId="150" priority="16">
      <formula>AND(D15&lt;&gt;"",J15&lt;&gt;1,F15&lt;TODAY())</formula>
    </cfRule>
    <cfRule type="expression" dxfId="149" priority="17">
      <formula>AND(D15&lt;&gt;"",J15&lt;&gt;1,F15&lt;(TODAY()+7))</formula>
    </cfRule>
  </conditionalFormatting>
  <conditionalFormatting sqref="C15:C48">
    <cfRule type="expression" dxfId="148" priority="14">
      <formula>AND(ISNUMBER($K15),ISBLANK($C15))</formula>
    </cfRule>
  </conditionalFormatting>
  <conditionalFormatting sqref="G15:G48">
    <cfRule type="expression" dxfId="147" priority="13">
      <formula>AND(ISNUMBER($K15),ISBLANK(G15))</formula>
    </cfRule>
  </conditionalFormatting>
  <conditionalFormatting sqref="K15:K48">
    <cfRule type="expression" dxfId="146" priority="12">
      <formula>AND(ISTEXT($G15),ISBLANK($K15))</formula>
    </cfRule>
  </conditionalFormatting>
  <conditionalFormatting sqref="K15:K48">
    <cfRule type="expression" dxfId="145" priority="10">
      <formula>AND(MOD(ROW(K1),2)=1,$L15="b")</formula>
    </cfRule>
    <cfRule type="expression" dxfId="144" priority="11">
      <formula>AND(MOD(ROW(K2),2)=1,$L15="b")</formula>
    </cfRule>
  </conditionalFormatting>
  <conditionalFormatting sqref="D15">
    <cfRule type="expression" dxfId="143" priority="6">
      <formula>AND(MOD(ROW(B1),2)=1,$L15="b")</formula>
    </cfRule>
    <cfRule type="expression" dxfId="142" priority="7">
      <formula>AND(MOD(ROW(B2),2)=1,$L15="b")</formula>
    </cfRule>
  </conditionalFormatting>
  <conditionalFormatting sqref="F15">
    <cfRule type="expression" dxfId="141" priority="8">
      <formula>AND(MOD(ROW(C1),2)=1,$L15="b")</formula>
    </cfRule>
    <cfRule type="expression" dxfId="140" priority="9">
      <formula>AND(MOD(ROW(C2),2)=1,$L15="b")</formula>
    </cfRule>
  </conditionalFormatting>
  <conditionalFormatting sqref="E15">
    <cfRule type="expression" dxfId="139" priority="1">
      <formula>AND(MOD(ROW(B1),2)=1,$L15="b")</formula>
    </cfRule>
    <cfRule type="expression" dxfId="138" priority="2">
      <formula>AND(MOD(ROW(B2),2)=1,$L15="b")</formula>
    </cfRule>
  </conditionalFormatting>
  <conditionalFormatting sqref="F15:F228">
    <cfRule type="expression" dxfId="137" priority="3">
      <formula>AND(D15&lt;&gt;"",J15&lt;&gt;1,F15&lt;TODAY())</formula>
    </cfRule>
    <cfRule type="expression" dxfId="136" priority="4">
      <formula>AND(D15&lt;&gt;"",J15&lt;&gt;1,F15&lt;=(TODAY()+7))</formula>
    </cfRule>
    <cfRule type="expression" dxfId="135" priority="5">
      <formula>AND($D15&lt;&gt;"",J15=2,F15&lt;TODAY())</formula>
    </cfRule>
  </conditionalFormatting>
  <conditionalFormatting sqref="A15:A228">
    <cfRule type="expression" dxfId="134" priority="19979">
      <formula>AND(MOD(ROW(UXL1),2)=1,$L15="b")</formula>
    </cfRule>
    <cfRule type="expression" dxfId="133" priority="19980">
      <formula>AND(MOD(ROW(UXL2),2)=1,$L15="b")</formula>
    </cfRule>
  </conditionalFormatting>
  <dataValidations count="5">
    <dataValidation showInputMessage="1" promptTitle="Liste Projektteam" sqref="B11" xr:uid="{00000000-0002-0000-0500-000000000000}"/>
    <dataValidation type="list" allowBlank="1" showInputMessage="1" showErrorMessage="1" errorTitle="Sorry" error="Please choose 1,2 or 3" sqref="J15:J228" xr:uid="{00000000-0002-0000-0500-000002000000}">
      <formula1>"1,2,3"</formula1>
    </dataValidation>
    <dataValidation type="list" allowBlank="1" showInputMessage="1" showErrorMessage="1" errorTitle="Eingabefehler! Erreur!" sqref="I15:I228" xr:uid="{00000000-0002-0000-0500-000003000000}">
      <formula1>"1,0"</formula1>
    </dataValidation>
    <dataValidation type="date" allowBlank="1" showInputMessage="1" showErrorMessage="1" errorTitle="Date formatting" error="Pleas check the date formatting" sqref="D119:D228 D15:D117 F15:F228" xr:uid="{00000000-0002-0000-0500-000004000000}">
      <formula1>40179</formula1>
      <formula2>402133</formula2>
    </dataValidation>
    <dataValidation allowBlank="1" showInputMessage="1" showErrorMessage="1" errorTitle="max. 100%" error="max. 100%" promptTitle="max. 100%" sqref="H15:H228" xr:uid="{EAB65DF3-8906-4C31-AAF2-5D1DEEB47AA3}"/>
  </dataValidations>
  <pageMargins left="0.19685039370078741" right="0.19685039370078741" top="0.31496062992125984" bottom="0.43307086614173229" header="0" footer="0.19685039370078741"/>
  <pageSetup paperSize="8" scale="93" orientation="landscape" r:id="rId1"/>
  <headerFooter scaleWithDoc="0">
    <oddFooter>&amp;L&amp;8&amp;K01+049(c) s. imboden&amp;C&amp;8&amp;K01+049printed &amp;D&amp;R&amp;8&amp;K03+000&amp;P/&amp;N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255" r:id="rId4" name="Control 479">
              <controlPr defaultSize="0" print="0" uiObject="1" autoLine="0" autoPict="0">
                <anchor moveWithCells="1" sizeWithCells="1">
                  <from>
                    <xdr:col>2</xdr:col>
                    <xdr:colOff>0</xdr:colOff>
                    <xdr:row>5</xdr:row>
                    <xdr:rowOff>0</xdr:rowOff>
                  </from>
                  <to>
                    <xdr:col>3</xdr:col>
                    <xdr:colOff>335280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35B13D6-E8F4-4FC0-8006-31E550BB3E1B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H9</xm:sqref>
        </x14:conditionalFormatting>
        <x14:conditionalFormatting xmlns:xm="http://schemas.microsoft.com/office/excel/2006/main">
          <x14:cfRule type="dataBar" id="{B330E5BA-622A-4EAE-905A-FAB2AD6AB56D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H15:H228 H9</xm:sqref>
        </x14:conditionalFormatting>
        <x14:conditionalFormatting xmlns:xm="http://schemas.microsoft.com/office/excel/2006/main">
          <x14:cfRule type="iconSet" priority="1271" id="{AF23F006-EA67-45A5-8460-DB84DBCF2488}">
            <x14:iconSet iconSet="3Sign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Signs" iconId="0"/>
              <x14:cfIcon iconSet="3Signs" iconId="0"/>
              <x14:cfIcon iconSet="3Signs" iconId="0"/>
            </x14:iconSet>
          </x14:cfRule>
          <xm:sqref>I12:I13</xm:sqref>
        </x14:conditionalFormatting>
        <x14:conditionalFormatting xmlns:xm="http://schemas.microsoft.com/office/excel/2006/main">
          <x14:cfRule type="iconSet" priority="1270" id="{46053A01-5BD8-46BF-8495-F764FE5EF8F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Symbols" iconId="2"/>
              <x14:cfIcon iconSet="3Symbols" iconId="2"/>
              <x14:cfIcon iconSet="3Symbols" iconId="2"/>
            </x14:iconSet>
          </x14:cfRule>
          <xm:sqref>J12:J13</xm:sqref>
        </x14:conditionalFormatting>
        <x14:conditionalFormatting xmlns:xm="http://schemas.microsoft.com/office/excel/2006/main">
          <x14:cfRule type="iconSet" priority="17519" id="{7795AEEB-D800-4852-A125-493496FA5850}">
            <x14:iconSet iconSet="3Symbols2" showValue="0" custom="1">
              <x14:cfvo type="percent">
                <xm:f>0</xm:f>
              </x14:cfvo>
              <x14:cfvo type="num">
                <xm:f>1.25</xm:f>
              </x14:cfvo>
              <x14:cfvo type="num">
                <xm:f>2.25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J15:J227</xm:sqref>
        </x14:conditionalFormatting>
        <x14:conditionalFormatting xmlns:xm="http://schemas.microsoft.com/office/excel/2006/main">
          <x14:cfRule type="iconSet" priority="17520" id="{A611A5DA-DCC0-4351-A5BB-3535D53C7F02}">
            <x14:iconSet iconSet="3Sign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Signs" iconId="0"/>
              <x14:cfIcon iconSet="NoIcons" iconId="0"/>
            </x14:iconSet>
          </x14:cfRule>
          <xm:sqref>I15:I227</xm:sqref>
        </x14:conditionalFormatting>
        <x14:conditionalFormatting xmlns:xm="http://schemas.microsoft.com/office/excel/2006/main">
          <x14:cfRule type="iconSet" priority="76" id="{A8C14AF0-3291-4F9F-8AA7-CE74AC9BC532}">
            <x14:iconSet iconSet="3Symbols2" showValue="0" custom="1">
              <x14:cfvo type="percent">
                <xm:f>0</xm:f>
              </x14:cfvo>
              <x14:cfvo type="num">
                <xm:f>1.25</xm:f>
              </x14:cfvo>
              <x14:cfvo type="num">
                <xm:f>2.25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J228</xm:sqref>
        </x14:conditionalFormatting>
        <x14:conditionalFormatting xmlns:xm="http://schemas.microsoft.com/office/excel/2006/main">
          <x14:cfRule type="iconSet" priority="77" id="{DC29A251-3C17-48BA-B24F-117E68A7038E}">
            <x14:iconSet iconSet="3Sign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Signs" iconId="0"/>
              <x14:cfIcon iconSet="NoIcons" iconId="0"/>
            </x14:iconSet>
          </x14:cfRule>
          <xm:sqref>I228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information" promptTitle="Projektteam" xr:uid="{00000000-0002-0000-0500-000005000000}">
          <x14:formula1>
            <xm:f>Projektteam!$AZ$11:$AZ$31</xm:f>
          </x14:formula1>
          <xm:sqref>C8</xm:sqref>
        </x14:dataValidation>
        <x14:dataValidation type="list" allowBlank="1" showInputMessage="1" showErrorMessage="1" errorTitle="Name is not in the list!" error="Um einen Namen in der Liste hinzuzufügen vervollstgändigen Sie die Liste mit dem Projektteam._x000a__x000a_Pour ajouter un nom dans la liste, veuillez ajouter cette personne dans la liste de l'équipe de projet." xr:uid="{00000000-0002-0000-0500-000006000000}">
          <x14:formula1>
            <xm:f>Projektteam!$AP$1:$AP$26</xm:f>
          </x14:formula1>
          <xm:sqref>G15:G228</xm:sqref>
        </x14:dataValidation>
        <x14:dataValidation type="list" errorStyle="warning" allowBlank="1" showInputMessage="1" showErrorMessage="1" xr:uid="{00000000-0002-0000-0500-000007000000}">
          <x14:formula1>
            <xm:f>Projektteam!$BC$1:$BC$31</xm:f>
          </x14:formula1>
          <xm:sqref>C5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rojektstand">
    <tabColor theme="3" tint="0.59999389629810485"/>
    <pageSetUpPr fitToPage="1"/>
  </sheetPr>
  <dimension ref="A1:P66"/>
  <sheetViews>
    <sheetView showGridLines="0" showRowColHeaders="0" zoomScaleNormal="100" zoomScaleSheetLayoutView="100" workbookViewId="0">
      <pane ySplit="1" topLeftCell="A2" activePane="bottomLeft" state="frozen"/>
      <selection activeCell="C28" sqref="C28"/>
      <selection pane="bottomLeft"/>
    </sheetView>
  </sheetViews>
  <sheetFormatPr baseColWidth="10" defaultColWidth="11.44140625" defaultRowHeight="14.4" x14ac:dyDescent="0.3"/>
  <cols>
    <col min="1" max="1" width="7" style="423" customWidth="1"/>
    <col min="2" max="2" width="12.88671875" style="422" customWidth="1"/>
    <col min="3" max="3" width="8.5546875" style="422" customWidth="1"/>
    <col min="4" max="4" width="18.88671875" style="422" customWidth="1"/>
    <col min="5" max="5" width="5.5546875" style="422" customWidth="1"/>
    <col min="6" max="6" width="4.44140625" style="422" customWidth="1"/>
    <col min="7" max="7" width="2.109375" style="422" customWidth="1"/>
    <col min="8" max="8" width="3.5546875" style="422" customWidth="1"/>
    <col min="9" max="9" width="12.44140625" style="422" customWidth="1"/>
    <col min="10" max="10" width="15.5546875" style="422" bestFit="1" customWidth="1"/>
    <col min="11" max="11" width="2.5546875" style="422" customWidth="1"/>
    <col min="12" max="12" width="17.109375" style="422" bestFit="1" customWidth="1"/>
    <col min="13" max="13" width="11.5546875" style="422" customWidth="1"/>
    <col min="14" max="16" width="0.109375" style="636" customWidth="1"/>
    <col min="17" max="17" width="11.5546875" style="422" customWidth="1"/>
    <col min="18" max="18" width="7.44140625" style="422" customWidth="1"/>
    <col min="19" max="27" width="3" style="422" customWidth="1"/>
    <col min="28" max="28" width="20.5546875" style="422" customWidth="1"/>
    <col min="29" max="53" width="3" style="422" customWidth="1"/>
    <col min="54" max="16384" width="11.44140625" style="422"/>
  </cols>
  <sheetData>
    <row r="1" spans="1:16" s="1" customFormat="1" ht="45" customHeight="1" x14ac:dyDescent="0.6">
      <c r="A1" s="528"/>
      <c r="B1" s="629" t="str">
        <f ca="1">' '!A146</f>
        <v>E T A T  D U  P R O J E T</v>
      </c>
      <c r="C1" s="630"/>
      <c r="D1" s="630"/>
      <c r="E1" s="630"/>
      <c r="F1" s="631"/>
      <c r="G1" s="630"/>
      <c r="H1" s="631"/>
      <c r="I1" s="630"/>
      <c r="J1" s="631"/>
      <c r="K1" s="630"/>
      <c r="L1" s="632"/>
      <c r="N1" s="633"/>
      <c r="O1" s="633"/>
      <c r="P1" s="633"/>
    </row>
    <row r="2" spans="1:16" s="62" customFormat="1" ht="30" customHeight="1" x14ac:dyDescent="0.3">
      <c r="A2" s="3"/>
      <c r="B2" s="401"/>
      <c r="N2" s="628"/>
      <c r="O2" s="628"/>
      <c r="P2" s="628"/>
    </row>
    <row r="3" spans="1:16" x14ac:dyDescent="0.3">
      <c r="A3" s="73"/>
      <c r="B3" s="1035" t="str">
        <f ca="1">Projektauftrag!B4</f>
        <v>No. de projet :</v>
      </c>
      <c r="C3" s="1036"/>
      <c r="D3" s="634" t="str">
        <f>IF(Projektauftrag!D4&lt;&gt;"",Projektauftrag!D4,' '!A164)</f>
        <v>P1</v>
      </c>
      <c r="E3" s="1036" t="str">
        <f ca="1">Projektauftrag!E4</f>
        <v>Début:</v>
      </c>
      <c r="F3" s="1036"/>
      <c r="G3" s="1036">
        <f ca="1">Projektauftrag!G4</f>
        <v>46049</v>
      </c>
      <c r="H3" s="1037">
        <f ca="1">IF(Projektauftrag!G4&lt;&gt;"",Projektauftrag!G4,' '!A164)</f>
        <v>46049</v>
      </c>
      <c r="I3" s="1038"/>
      <c r="J3" s="1036" t="str">
        <f ca="1">Projektauftrag!H4</f>
        <v>Fin:</v>
      </c>
      <c r="K3" s="1036"/>
      <c r="L3" s="635">
        <f ca="1">IF(Projektauftrag!J4&lt;&gt;"",Projektauftrag!J4,' '!A164)</f>
        <v>46799</v>
      </c>
      <c r="N3" s="636">
        <f>COUNTIF($E$10:$E$13,1)</f>
        <v>3</v>
      </c>
      <c r="O3" s="636" t="s">
        <v>1739</v>
      </c>
      <c r="P3" s="637">
        <f>Logo!$D$16</f>
        <v>0.3</v>
      </c>
    </row>
    <row r="4" spans="1:16" ht="30" customHeight="1" x14ac:dyDescent="0.3">
      <c r="B4" s="1040" t="str">
        <f ca="1">Projektauftrag!B5</f>
        <v>Nom du projet :</v>
      </c>
      <c r="C4" s="1041"/>
      <c r="D4" s="638" t="str">
        <f>IF(Projektauftrag!D5&lt;&gt;"",Projektauftrag!D5,' '!A164)</f>
        <v>Projet xy</v>
      </c>
      <c r="E4" s="1041" t="str">
        <f ca="1">Projektauftrag!E5</f>
        <v>Mandant:</v>
      </c>
      <c r="F4" s="1041"/>
      <c r="G4" s="1041"/>
      <c r="H4" s="1042" t="str">
        <f>IF(Projektauftrag!G5&lt;&gt;"",Projektauftrag!G5,' '!A164)</f>
        <v>xyz xxx</v>
      </c>
      <c r="I4" s="959"/>
      <c r="J4" s="1041" t="str">
        <f ca="1">Projektauftrag!H5</f>
        <v>Chef de projet :</v>
      </c>
      <c r="K4" s="1041"/>
      <c r="L4" s="639" t="str">
        <f>IF(Projektauftrag!J5&lt;&gt;"",Projektauftrag!J5,' '!A164)</f>
        <v>abc def (abc)</v>
      </c>
      <c r="N4" s="636">
        <f>COUNTIF($E$10:$E$13,2)</f>
        <v>1</v>
      </c>
      <c r="O4" s="636" t="s">
        <v>1741</v>
      </c>
      <c r="P4" s="637">
        <f>Logo!D16</f>
        <v>0.3</v>
      </c>
    </row>
    <row r="5" spans="1:16" x14ac:dyDescent="0.3">
      <c r="B5" s="1040" t="str">
        <f ca="1">Projektauftrag!B6</f>
        <v>Section :</v>
      </c>
      <c r="C5" s="1041"/>
      <c r="D5" s="638" t="str">
        <f ca="1">IF(Projektauftrag!D6&lt;&gt;"",Projektauftrag!D6,' '!A164)</f>
        <v>Voir mandat</v>
      </c>
      <c r="E5" s="1041" t="str">
        <f ca="1">Projektauftrag!E6</f>
        <v>modifié le :</v>
      </c>
      <c r="F5" s="1041"/>
      <c r="G5" s="1041"/>
      <c r="H5" s="1043"/>
      <c r="I5" s="1044"/>
      <c r="J5" s="1041" t="str">
        <f ca="1">Projektauftrag!H6</f>
        <v>Remplaçant/e :</v>
      </c>
      <c r="K5" s="1041"/>
      <c r="L5" s="639" t="str">
        <f ca="1">IF(Projektauftrag!J6&lt;&gt;"",Projektauftrag!J6,' '!A164)</f>
        <v>Voir mandat</v>
      </c>
      <c r="N5" s="636">
        <f>COUNTIF($E$10:$E$13,3)</f>
        <v>0</v>
      </c>
      <c r="O5" s="636" t="s">
        <v>1743</v>
      </c>
      <c r="P5" s="637">
        <f>Logo!$D$15</f>
        <v>0.5</v>
      </c>
    </row>
    <row r="6" spans="1:16" ht="25.5" customHeight="1" x14ac:dyDescent="0.3">
      <c r="B6" s="1045" t="str">
        <f ca="1">Projektauftrag!B7</f>
        <v>Objectif stratégique</v>
      </c>
      <c r="C6" s="1046"/>
      <c r="D6" s="1047" t="str">
        <f ca="1">IF(Projektauftrag!D7&lt;&gt;"",Projektauftrag!D7,' '!A164)</f>
        <v>Voir mandat</v>
      </c>
      <c r="E6" s="1047"/>
      <c r="F6" s="1047"/>
      <c r="G6" s="1047"/>
      <c r="H6" s="1047"/>
      <c r="I6" s="1047"/>
      <c r="J6" s="1047"/>
      <c r="K6" s="1047"/>
      <c r="L6" s="1048"/>
      <c r="O6" s="640">
        <f>IF(N3=4,100%,
IF(N5=4,0%,
IF(N4=4,P5,
IF(AND(N3=3,N5=1),69%,
IF(AND(N3=2,N5=2),50%,
IF(AND(N3=1,N5=3),25%,
IF(AND(N3=3,N4=1),75%+P5/4,
IF(AND(N4=2,N3=2),50%+(P5/4*2),
IF(AND(N4=3,N3=1),25%+(P5/4*3),
IF(AND(N4=1,N5=3),P5/4,
IF(AND(N4=2,N5=2),P5/4*2,
IF(AND(N4=3,N5=1),P5/4*3,
IF(AND(N4=2,N5=1,N3=1),25%+(P5/4*2),
IF(AND(N4=1,N5=2,N3=1),25%+(P5/4),
IF(AND(N4=1,N5=1,N3=2),50%+(P5/4*1),0%)))))))))))))))</f>
        <v>0.875</v>
      </c>
    </row>
    <row r="7" spans="1:16" x14ac:dyDescent="0.3">
      <c r="B7" s="431"/>
      <c r="C7" s="431"/>
      <c r="D7" s="432"/>
      <c r="E7" s="432"/>
      <c r="F7" s="432"/>
      <c r="G7" s="432"/>
      <c r="H7" s="432"/>
      <c r="I7" s="432"/>
      <c r="J7" s="432"/>
      <c r="K7" s="432"/>
      <c r="L7" s="432"/>
      <c r="N7" s="640"/>
    </row>
    <row r="8" spans="1:16" s="540" customFormat="1" ht="15" customHeight="1" x14ac:dyDescent="0.3">
      <c r="A8" s="423"/>
      <c r="B8" s="1039" t="str">
        <f ca="1">' '!A147</f>
        <v>Evaluation générale (1 = se déroule comme prévu ; 2 = à surveiller ; 3 = critique)</v>
      </c>
      <c r="C8" s="1039"/>
      <c r="D8" s="1039"/>
      <c r="E8" s="1039"/>
      <c r="F8" s="1039"/>
      <c r="G8" s="1039"/>
      <c r="H8" s="1039"/>
      <c r="I8" s="1039"/>
      <c r="J8" s="1039"/>
      <c r="K8" s="1039"/>
      <c r="L8" s="1039"/>
      <c r="N8" s="641"/>
      <c r="O8" s="641"/>
      <c r="P8" s="641"/>
    </row>
    <row r="9" spans="1:16" s="540" customFormat="1" x14ac:dyDescent="0.3">
      <c r="A9" s="423"/>
      <c r="B9" s="582"/>
      <c r="C9" s="582"/>
      <c r="D9" s="582"/>
      <c r="E9" s="582"/>
      <c r="F9" s="582"/>
      <c r="G9" s="582"/>
      <c r="H9" s="582"/>
      <c r="I9" s="582"/>
      <c r="J9" s="582"/>
      <c r="K9" s="582"/>
      <c r="L9" s="582"/>
      <c r="N9" s="641"/>
      <c r="O9" s="628" t="s">
        <v>1742</v>
      </c>
      <c r="P9" s="642">
        <f>ABS(O6)</f>
        <v>0.875</v>
      </c>
    </row>
    <row r="10" spans="1:16" s="540" customFormat="1" ht="15" customHeight="1" x14ac:dyDescent="0.3">
      <c r="A10" s="423"/>
      <c r="B10" s="1049" t="str">
        <f ca="1">' '!A148</f>
        <v>Projet global</v>
      </c>
      <c r="C10" s="1049"/>
      <c r="D10" s="643" t="str">
        <f ca="1">IF($E10=1,' '!$A$155,
IF($E10=2,' '!$A$154,
IF($E10=3,' '!$A$153,"")))</f>
        <v>comme prévu</v>
      </c>
      <c r="E10" s="941">
        <v>1</v>
      </c>
      <c r="F10" s="644"/>
      <c r="I10" s="582"/>
      <c r="J10" s="628"/>
      <c r="K10" s="628"/>
      <c r="L10" s="641"/>
      <c r="N10" s="641"/>
      <c r="O10" s="628" t="s">
        <v>1740</v>
      </c>
      <c r="P10" s="642">
        <v>3.0000000000000001E-3</v>
      </c>
    </row>
    <row r="11" spans="1:16" s="540" customFormat="1" ht="15" customHeight="1" x14ac:dyDescent="0.3">
      <c r="A11" s="423"/>
      <c r="B11" s="1049" t="str">
        <f ca="1">' '!A149</f>
        <v>Budget/Ressources</v>
      </c>
      <c r="C11" s="1049"/>
      <c r="D11" s="643" t="str">
        <f ca="1">IF($E11=1,' '!$A$155,
IF($E11=2,' '!$A$154,
IF($E11=3,' '!$A$153,"")))</f>
        <v>à surveiller</v>
      </c>
      <c r="E11" s="941">
        <v>2</v>
      </c>
      <c r="F11" s="644"/>
      <c r="I11" s="582"/>
      <c r="J11" s="628"/>
      <c r="K11" s="628"/>
      <c r="L11" s="641"/>
      <c r="N11" s="641"/>
      <c r="O11" s="628" t="s">
        <v>66</v>
      </c>
      <c r="P11" s="642">
        <f>2-P9-P10</f>
        <v>1.1220000000000001</v>
      </c>
    </row>
    <row r="12" spans="1:16" s="540" customFormat="1" ht="15" customHeight="1" x14ac:dyDescent="0.3">
      <c r="A12" s="423"/>
      <c r="B12" s="1049" t="str">
        <f ca="1">' '!A150</f>
        <v>Qualité/Objectifs</v>
      </c>
      <c r="C12" s="1049"/>
      <c r="D12" s="643" t="str">
        <f ca="1">IF($E12=1,' '!$A$155,
IF($E12=2,' '!$A$154,
IF($E12=3,' '!$A$153,"")))</f>
        <v>comme prévu</v>
      </c>
      <c r="E12" s="941">
        <v>1</v>
      </c>
      <c r="F12" s="644"/>
      <c r="I12" s="582"/>
      <c r="J12" s="628"/>
      <c r="K12" s="628"/>
      <c r="L12" s="641"/>
      <c r="N12" s="641"/>
      <c r="O12" s="641"/>
      <c r="P12" s="641"/>
    </row>
    <row r="13" spans="1:16" s="540" customFormat="1" ht="15" customHeight="1" x14ac:dyDescent="0.3">
      <c r="A13" s="423"/>
      <c r="B13" s="1049" t="str">
        <f ca="1">' '!A151</f>
        <v>Délais/Planification</v>
      </c>
      <c r="C13" s="1049"/>
      <c r="D13" s="643" t="str">
        <f ca="1">IF($E13=1,' '!$A$155,
IF($E13=2,' '!$A$154,
IF($E13=3,' '!$A$153,"")))</f>
        <v>comme prévu</v>
      </c>
      <c r="E13" s="941">
        <v>1</v>
      </c>
      <c r="F13" s="644"/>
      <c r="I13" s="582"/>
      <c r="J13" s="628"/>
      <c r="K13" s="628"/>
      <c r="L13" s="641"/>
      <c r="N13" s="641"/>
      <c r="O13" s="641"/>
      <c r="P13" s="645"/>
    </row>
    <row r="14" spans="1:16" s="540" customFormat="1" x14ac:dyDescent="0.3">
      <c r="A14" s="423"/>
      <c r="B14" s="582"/>
      <c r="C14" s="582"/>
      <c r="D14" s="582"/>
      <c r="E14" s="582"/>
      <c r="F14" s="582"/>
      <c r="G14" s="582"/>
      <c r="H14" s="582"/>
      <c r="I14" s="582"/>
      <c r="J14" s="582"/>
      <c r="K14" s="582"/>
      <c r="L14" s="582"/>
      <c r="N14" s="641"/>
      <c r="O14" s="641"/>
      <c r="P14" s="646"/>
    </row>
    <row r="15" spans="1:16" s="540" customFormat="1" x14ac:dyDescent="0.3">
      <c r="A15" s="423"/>
      <c r="B15" s="1039" t="str">
        <f ca="1">' '!A156</f>
        <v>Commentaires</v>
      </c>
      <c r="C15" s="1039"/>
      <c r="D15" s="1039"/>
      <c r="E15" s="1039"/>
      <c r="F15" s="1039"/>
      <c r="G15" s="1039"/>
      <c r="H15" s="1039"/>
      <c r="I15" s="1039"/>
      <c r="J15" s="1039"/>
      <c r="K15" s="1039"/>
      <c r="L15" s="1039"/>
      <c r="N15" s="641"/>
      <c r="O15" s="641"/>
      <c r="P15" s="641"/>
    </row>
    <row r="16" spans="1:16" x14ac:dyDescent="0.3">
      <c r="B16" s="991"/>
      <c r="C16" s="991"/>
      <c r="D16" s="991"/>
      <c r="E16" s="991"/>
      <c r="F16" s="991"/>
      <c r="G16" s="991"/>
      <c r="H16" s="991"/>
      <c r="I16" s="991"/>
      <c r="J16" s="991"/>
      <c r="K16" s="991"/>
      <c r="L16" s="991"/>
    </row>
    <row r="17" spans="1:13" x14ac:dyDescent="0.3">
      <c r="B17" s="991"/>
      <c r="C17" s="991"/>
      <c r="D17" s="991"/>
      <c r="E17" s="991"/>
      <c r="F17" s="991"/>
      <c r="G17" s="991"/>
      <c r="H17" s="991"/>
      <c r="I17" s="991"/>
      <c r="J17" s="991"/>
      <c r="K17" s="991"/>
      <c r="L17" s="991"/>
    </row>
    <row r="18" spans="1:13" x14ac:dyDescent="0.3">
      <c r="B18" s="991"/>
      <c r="C18" s="991"/>
      <c r="D18" s="991"/>
      <c r="E18" s="991"/>
      <c r="F18" s="991"/>
      <c r="G18" s="991"/>
      <c r="H18" s="991"/>
      <c r="I18" s="991"/>
      <c r="J18" s="991"/>
      <c r="K18" s="991"/>
      <c r="L18" s="991"/>
    </row>
    <row r="19" spans="1:13" x14ac:dyDescent="0.3">
      <c r="B19" s="991"/>
      <c r="C19" s="991"/>
      <c r="D19" s="991"/>
      <c r="E19" s="991"/>
      <c r="F19" s="991"/>
      <c r="G19" s="991"/>
      <c r="H19" s="991"/>
      <c r="I19" s="991"/>
      <c r="J19" s="991"/>
      <c r="K19" s="991"/>
      <c r="L19" s="991"/>
    </row>
    <row r="20" spans="1:13" x14ac:dyDescent="0.3">
      <c r="B20" s="991"/>
      <c r="C20" s="991"/>
      <c r="D20" s="991"/>
      <c r="E20" s="991"/>
      <c r="F20" s="991"/>
      <c r="G20" s="991"/>
      <c r="H20" s="991"/>
      <c r="I20" s="991"/>
      <c r="J20" s="991"/>
      <c r="K20" s="991"/>
      <c r="L20" s="991"/>
    </row>
    <row r="21" spans="1:13" x14ac:dyDescent="0.3">
      <c r="B21" s="991"/>
      <c r="C21" s="991"/>
      <c r="D21" s="991"/>
      <c r="E21" s="991"/>
      <c r="F21" s="991"/>
      <c r="G21" s="991"/>
      <c r="H21" s="991"/>
      <c r="I21" s="991"/>
      <c r="J21" s="991"/>
      <c r="K21" s="991"/>
      <c r="L21" s="991"/>
    </row>
    <row r="22" spans="1:13" ht="3" customHeight="1" x14ac:dyDescent="0.3">
      <c r="B22" s="647"/>
      <c r="C22" s="647"/>
      <c r="D22" s="647"/>
      <c r="E22" s="647"/>
      <c r="F22" s="647"/>
      <c r="G22" s="647"/>
      <c r="H22" s="647"/>
      <c r="I22" s="647"/>
      <c r="J22" s="647"/>
      <c r="K22" s="647"/>
      <c r="L22" s="647"/>
    </row>
    <row r="23" spans="1:13" ht="15" customHeight="1" x14ac:dyDescent="0.3">
      <c r="B23" s="1039" t="str">
        <f ca="1">' '!A165</f>
        <v>Objectifs du projet (cf. mandat)</v>
      </c>
      <c r="C23" s="1039"/>
      <c r="D23" s="1039"/>
      <c r="E23" s="1039"/>
      <c r="F23" s="1039"/>
      <c r="G23" s="1039"/>
      <c r="H23" s="1039"/>
      <c r="I23" s="1039"/>
      <c r="J23" s="1039"/>
      <c r="K23" s="648"/>
      <c r="L23" s="649" t="str">
        <f ca="1">' '!A163</f>
        <v>en %</v>
      </c>
    </row>
    <row r="24" spans="1:13" x14ac:dyDescent="0.3">
      <c r="A24" s="541" t="s">
        <v>12</v>
      </c>
      <c r="B24" s="1051" t="str">
        <f>IF(Projektauftrag!B16&lt;&gt;"",Projektauftrag!B16,"")</f>
        <v>Objectif 1</v>
      </c>
      <c r="C24" s="1051"/>
      <c r="D24" s="1051"/>
      <c r="E24" s="1051"/>
      <c r="F24" s="1051"/>
      <c r="G24" s="1051"/>
      <c r="H24" s="1051"/>
      <c r="I24" s="1051"/>
      <c r="J24" s="1051"/>
      <c r="K24" s="1051"/>
      <c r="L24" s="7">
        <v>0.5</v>
      </c>
      <c r="M24" s="650" t="str">
        <f>IF(Projektauftrag!B16&lt;&gt;"","&gt;","")</f>
        <v>&gt;</v>
      </c>
    </row>
    <row r="25" spans="1:13" x14ac:dyDescent="0.3">
      <c r="A25" s="541" t="s">
        <v>13</v>
      </c>
      <c r="B25" s="1051" t="str">
        <f>IF(Projektauftrag!B17&lt;&gt;"",Projektauftrag!B17,"")</f>
        <v>Objectif 2</v>
      </c>
      <c r="C25" s="1051"/>
      <c r="D25" s="1051"/>
      <c r="E25" s="1051"/>
      <c r="F25" s="1051"/>
      <c r="G25" s="1051"/>
      <c r="H25" s="1051"/>
      <c r="I25" s="1051"/>
      <c r="J25" s="1051"/>
      <c r="K25" s="1051"/>
      <c r="L25" s="7">
        <v>0.3</v>
      </c>
      <c r="M25" s="650" t="str">
        <f>IF(Projektauftrag!B17&lt;&gt;"","&gt;","")</f>
        <v>&gt;</v>
      </c>
    </row>
    <row r="26" spans="1:13" x14ac:dyDescent="0.3">
      <c r="A26" s="541" t="s">
        <v>8</v>
      </c>
      <c r="B26" s="1051" t="str">
        <f>IF(Projektauftrag!B18&lt;&gt;"",Projektauftrag!B18,"")</f>
        <v/>
      </c>
      <c r="C26" s="1051"/>
      <c r="D26" s="1051"/>
      <c r="E26" s="1051"/>
      <c r="F26" s="1051"/>
      <c r="G26" s="1051"/>
      <c r="H26" s="1051"/>
      <c r="I26" s="1051"/>
      <c r="J26" s="1051"/>
      <c r="K26" s="1051"/>
      <c r="L26" s="7"/>
      <c r="M26" s="650" t="str">
        <f>IF(Projektauftrag!B18&lt;&gt;"","&gt;","")</f>
        <v/>
      </c>
    </row>
    <row r="27" spans="1:13" x14ac:dyDescent="0.3">
      <c r="A27" s="541" t="s">
        <v>9</v>
      </c>
      <c r="B27" s="1051" t="str">
        <f>IF(Projektauftrag!B19&lt;&gt;"",Projektauftrag!B19,"")</f>
        <v/>
      </c>
      <c r="C27" s="1051"/>
      <c r="D27" s="1051"/>
      <c r="E27" s="1051"/>
      <c r="F27" s="1051"/>
      <c r="G27" s="1051"/>
      <c r="H27" s="1051"/>
      <c r="I27" s="1051"/>
      <c r="J27" s="1051"/>
      <c r="K27" s="1051"/>
      <c r="L27" s="7"/>
      <c r="M27" s="650" t="str">
        <f>IF(Projektauftrag!B19&lt;&gt;"","&gt;","")</f>
        <v/>
      </c>
    </row>
    <row r="28" spans="1:13" x14ac:dyDescent="0.3">
      <c r="A28" s="541" t="s">
        <v>10</v>
      </c>
      <c r="B28" s="1051" t="str">
        <f>IF(Projektauftrag!B20&lt;&gt;"",Projektauftrag!B20,"")</f>
        <v/>
      </c>
      <c r="C28" s="1051"/>
      <c r="D28" s="1051"/>
      <c r="E28" s="1051"/>
      <c r="F28" s="1051"/>
      <c r="G28" s="1051"/>
      <c r="H28" s="1051"/>
      <c r="I28" s="1051"/>
      <c r="J28" s="1051"/>
      <c r="K28" s="1051"/>
      <c r="L28" s="7"/>
      <c r="M28" s="650" t="str">
        <f>IF(Projektauftrag!B20&lt;&gt;"","&gt;","")</f>
        <v/>
      </c>
    </row>
    <row r="29" spans="1:13" x14ac:dyDescent="0.3">
      <c r="A29" s="541" t="s">
        <v>11</v>
      </c>
      <c r="B29" s="1051" t="str">
        <f>IF(Projektauftrag!B21&lt;&gt;"",Projektauftrag!B21,"")</f>
        <v/>
      </c>
      <c r="C29" s="1051"/>
      <c r="D29" s="1051"/>
      <c r="E29" s="1051"/>
      <c r="F29" s="1051"/>
      <c r="G29" s="1051"/>
      <c r="H29" s="1051"/>
      <c r="I29" s="1051"/>
      <c r="J29" s="1051"/>
      <c r="K29" s="1051"/>
      <c r="L29" s="7"/>
      <c r="M29" s="650" t="str">
        <f>IF(Projektauftrag!B21&lt;&gt;"","&gt;","")</f>
        <v/>
      </c>
    </row>
    <row r="30" spans="1:13" s="540" customFormat="1" x14ac:dyDescent="0.3">
      <c r="A30" s="423"/>
      <c r="B30" s="1039" t="str">
        <f ca="1">' '!A157</f>
        <v>Succès (dernière période)</v>
      </c>
      <c r="C30" s="1039"/>
      <c r="D30" s="1050"/>
      <c r="E30" s="1050"/>
      <c r="F30" s="1050"/>
      <c r="G30" s="1050"/>
      <c r="H30" s="1050"/>
      <c r="I30" s="1050"/>
      <c r="J30" s="1050"/>
      <c r="K30" s="1050"/>
      <c r="L30" s="1050"/>
    </row>
    <row r="31" spans="1:13" s="540" customFormat="1" x14ac:dyDescent="0.3">
      <c r="A31" s="541" t="s">
        <v>12</v>
      </c>
      <c r="B31" s="1052"/>
      <c r="C31" s="1052"/>
      <c r="D31" s="1052"/>
      <c r="E31" s="1052"/>
      <c r="F31" s="1052"/>
      <c r="G31" s="1052"/>
      <c r="H31" s="1052"/>
      <c r="I31" s="1052"/>
      <c r="J31" s="1052"/>
      <c r="K31" s="1052"/>
      <c r="L31" s="1052"/>
    </row>
    <row r="32" spans="1:13" s="540" customFormat="1" x14ac:dyDescent="0.3">
      <c r="A32" s="541" t="s">
        <v>13</v>
      </c>
      <c r="B32" s="1052"/>
      <c r="C32" s="1052"/>
      <c r="D32" s="1052"/>
      <c r="E32" s="1052"/>
      <c r="F32" s="1052"/>
      <c r="G32" s="1052"/>
      <c r="H32" s="1052"/>
      <c r="I32" s="1052"/>
      <c r="J32" s="1052"/>
      <c r="K32" s="1052"/>
      <c r="L32" s="1052"/>
    </row>
    <row r="33" spans="1:12" s="540" customFormat="1" x14ac:dyDescent="0.3">
      <c r="A33" s="541" t="s">
        <v>8</v>
      </c>
      <c r="B33" s="1052"/>
      <c r="C33" s="1052"/>
      <c r="D33" s="1052"/>
      <c r="E33" s="1052"/>
      <c r="F33" s="1052"/>
      <c r="G33" s="1052"/>
      <c r="H33" s="1052"/>
      <c r="I33" s="1052"/>
      <c r="J33" s="1052"/>
      <c r="K33" s="1052"/>
      <c r="L33" s="1052"/>
    </row>
    <row r="34" spans="1:12" s="540" customFormat="1" x14ac:dyDescent="0.3">
      <c r="A34" s="541" t="s">
        <v>9</v>
      </c>
      <c r="B34" s="1052"/>
      <c r="C34" s="1052"/>
      <c r="D34" s="1052"/>
      <c r="E34" s="1052"/>
      <c r="F34" s="1052"/>
      <c r="G34" s="1052"/>
      <c r="H34" s="1052"/>
      <c r="I34" s="1052"/>
      <c r="J34" s="1052"/>
      <c r="K34" s="1052"/>
      <c r="L34" s="1052"/>
    </row>
    <row r="35" spans="1:12" s="540" customFormat="1" x14ac:dyDescent="0.3">
      <c r="A35" s="541" t="s">
        <v>10</v>
      </c>
      <c r="B35" s="1052"/>
      <c r="C35" s="1052"/>
      <c r="D35" s="1052"/>
      <c r="E35" s="1052"/>
      <c r="F35" s="1052"/>
      <c r="G35" s="1052"/>
      <c r="H35" s="1052"/>
      <c r="I35" s="1052"/>
      <c r="J35" s="1052"/>
      <c r="K35" s="1052"/>
      <c r="L35" s="1052"/>
    </row>
    <row r="36" spans="1:12" s="540" customFormat="1" x14ac:dyDescent="0.3">
      <c r="A36" s="541" t="s">
        <v>11</v>
      </c>
      <c r="B36" s="1052"/>
      <c r="C36" s="1052"/>
      <c r="D36" s="1052"/>
      <c r="E36" s="1052"/>
      <c r="F36" s="1052"/>
      <c r="G36" s="1052"/>
      <c r="H36" s="1052"/>
      <c r="I36" s="1052"/>
      <c r="J36" s="1052"/>
      <c r="K36" s="1052"/>
      <c r="L36" s="1052"/>
    </row>
    <row r="37" spans="1:12" s="540" customFormat="1" ht="14.4" customHeight="1" x14ac:dyDescent="0.3">
      <c r="A37" s="541"/>
      <c r="B37" s="651" t="str">
        <f ca="1">' '!A158</f>
        <v>Problèmes spécifiques (dernière période)</v>
      </c>
      <c r="C37" s="652"/>
      <c r="D37" s="648"/>
      <c r="E37" s="648"/>
      <c r="F37" s="648"/>
      <c r="G37" s="648"/>
      <c r="H37" s="648"/>
      <c r="I37" s="648"/>
      <c r="J37" s="653"/>
      <c r="K37" s="654"/>
      <c r="L37" s="655"/>
    </row>
    <row r="38" spans="1:12" s="540" customFormat="1" x14ac:dyDescent="0.3">
      <c r="A38" s="541" t="s">
        <v>12</v>
      </c>
      <c r="B38" s="1052"/>
      <c r="C38" s="1052"/>
      <c r="D38" s="1052"/>
      <c r="E38" s="1052"/>
      <c r="F38" s="1052"/>
      <c r="G38" s="1052"/>
      <c r="H38" s="1052"/>
      <c r="I38" s="1052"/>
      <c r="J38" s="1052"/>
      <c r="K38" s="1052"/>
      <c r="L38" s="1052"/>
    </row>
    <row r="39" spans="1:12" s="540" customFormat="1" x14ac:dyDescent="0.3">
      <c r="A39" s="541" t="s">
        <v>13</v>
      </c>
      <c r="B39" s="1052"/>
      <c r="C39" s="1052"/>
      <c r="D39" s="1052"/>
      <c r="E39" s="1052"/>
      <c r="F39" s="1052"/>
      <c r="G39" s="1052"/>
      <c r="H39" s="1052"/>
      <c r="I39" s="1052"/>
      <c r="J39" s="1052"/>
      <c r="K39" s="1052"/>
      <c r="L39" s="1052"/>
    </row>
    <row r="40" spans="1:12" s="540" customFormat="1" x14ac:dyDescent="0.3">
      <c r="A40" s="541" t="s">
        <v>8</v>
      </c>
      <c r="B40" s="1052"/>
      <c r="C40" s="1052"/>
      <c r="D40" s="1052"/>
      <c r="E40" s="1052"/>
      <c r="F40" s="1052"/>
      <c r="G40" s="1052"/>
      <c r="H40" s="1052"/>
      <c r="I40" s="1052"/>
      <c r="J40" s="1052"/>
      <c r="K40" s="1052"/>
      <c r="L40" s="1052"/>
    </row>
    <row r="41" spans="1:12" s="540" customFormat="1" x14ac:dyDescent="0.3">
      <c r="A41" s="541" t="s">
        <v>9</v>
      </c>
      <c r="B41" s="1052"/>
      <c r="C41" s="1052"/>
      <c r="D41" s="1052"/>
      <c r="E41" s="1052"/>
      <c r="F41" s="1052"/>
      <c r="G41" s="1052"/>
      <c r="H41" s="1052"/>
      <c r="I41" s="1052"/>
      <c r="J41" s="1052"/>
      <c r="K41" s="1052"/>
      <c r="L41" s="1052"/>
    </row>
    <row r="42" spans="1:12" s="540" customFormat="1" x14ac:dyDescent="0.3">
      <c r="A42" s="541" t="s">
        <v>10</v>
      </c>
      <c r="B42" s="1052"/>
      <c r="C42" s="1052"/>
      <c r="D42" s="1052"/>
      <c r="E42" s="1052"/>
      <c r="F42" s="1052"/>
      <c r="G42" s="1052"/>
      <c r="H42" s="1052"/>
      <c r="I42" s="1052"/>
      <c r="J42" s="1052"/>
      <c r="K42" s="1052"/>
      <c r="L42" s="1052"/>
    </row>
    <row r="43" spans="1:12" s="540" customFormat="1" ht="15" customHeight="1" x14ac:dyDescent="0.3">
      <c r="A43" s="541"/>
      <c r="B43" s="1053" t="str">
        <f ca="1">' '!A159</f>
        <v>Défis (prochaine période)</v>
      </c>
      <c r="C43" s="1053"/>
      <c r="D43" s="1053"/>
      <c r="E43" s="1053"/>
      <c r="F43" s="1053"/>
      <c r="G43" s="1053"/>
      <c r="H43" s="1053"/>
      <c r="I43" s="1053"/>
      <c r="J43" s="1053"/>
      <c r="K43" s="654"/>
      <c r="L43" s="655"/>
    </row>
    <row r="44" spans="1:12" s="540" customFormat="1" x14ac:dyDescent="0.3">
      <c r="A44" s="541" t="s">
        <v>12</v>
      </c>
      <c r="B44" s="1052"/>
      <c r="C44" s="1052"/>
      <c r="D44" s="1052"/>
      <c r="E44" s="1052"/>
      <c r="F44" s="1052"/>
      <c r="G44" s="1052"/>
      <c r="H44" s="1052"/>
      <c r="I44" s="1052"/>
      <c r="J44" s="1052"/>
      <c r="K44" s="1052"/>
      <c r="L44" s="1052"/>
    </row>
    <row r="45" spans="1:12" s="540" customFormat="1" x14ac:dyDescent="0.3">
      <c r="A45" s="541" t="s">
        <v>13</v>
      </c>
      <c r="B45" s="1052"/>
      <c r="C45" s="1052"/>
      <c r="D45" s="1052"/>
      <c r="E45" s="1052"/>
      <c r="F45" s="1052"/>
      <c r="G45" s="1052"/>
      <c r="H45" s="1052"/>
      <c r="I45" s="1052"/>
      <c r="J45" s="1052"/>
      <c r="K45" s="1052"/>
      <c r="L45" s="1052"/>
    </row>
    <row r="46" spans="1:12" s="540" customFormat="1" x14ac:dyDescent="0.3">
      <c r="A46" s="541" t="s">
        <v>8</v>
      </c>
      <c r="B46" s="1052"/>
      <c r="C46" s="1052"/>
      <c r="D46" s="1052"/>
      <c r="E46" s="1052"/>
      <c r="F46" s="1052"/>
      <c r="G46" s="1052"/>
      <c r="H46" s="1052"/>
      <c r="I46" s="1052"/>
      <c r="J46" s="1052"/>
      <c r="K46" s="1052"/>
      <c r="L46" s="1052"/>
    </row>
    <row r="47" spans="1:12" s="540" customFormat="1" x14ac:dyDescent="0.3">
      <c r="A47" s="541" t="s">
        <v>9</v>
      </c>
      <c r="B47" s="1052"/>
      <c r="C47" s="1052"/>
      <c r="D47" s="1052"/>
      <c r="E47" s="1052"/>
      <c r="F47" s="1052"/>
      <c r="G47" s="1052"/>
      <c r="H47" s="1052"/>
      <c r="I47" s="1052"/>
      <c r="J47" s="1052"/>
      <c r="K47" s="1052"/>
      <c r="L47" s="1052"/>
    </row>
    <row r="48" spans="1:12" s="540" customFormat="1" ht="15" customHeight="1" x14ac:dyDescent="0.3">
      <c r="A48" s="944">
        <v>0</v>
      </c>
      <c r="B48" s="1023" t="str">
        <f ca="1">' '!A166</f>
        <v>Prochain jalon :</v>
      </c>
      <c r="C48" s="1024"/>
      <c r="D48" s="1034"/>
      <c r="E48" s="1034"/>
      <c r="F48" s="1034"/>
      <c r="G48" s="1034"/>
      <c r="H48" s="1034"/>
      <c r="I48" s="1034"/>
      <c r="J48" s="1034"/>
      <c r="K48" s="1034"/>
      <c r="L48" s="1034"/>
    </row>
    <row r="49" spans="1:12" s="540" customFormat="1" ht="3.75" customHeight="1" x14ac:dyDescent="0.3">
      <c r="A49" s="656"/>
      <c r="B49" s="9"/>
      <c r="C49" s="9"/>
      <c r="D49" s="8"/>
      <c r="E49" s="10"/>
      <c r="F49" s="10"/>
      <c r="G49" s="10"/>
      <c r="H49" s="10"/>
      <c r="I49" s="10"/>
      <c r="J49" s="10"/>
      <c r="K49" s="10"/>
      <c r="L49" s="10"/>
    </row>
    <row r="50" spans="1:12" s="540" customFormat="1" ht="15" customHeight="1" x14ac:dyDescent="0.3">
      <c r="A50" s="423"/>
      <c r="B50" s="1039" t="str">
        <f ca="1">Projektauftrag!B28</f>
        <v>Budget / Ressources / Personnes</v>
      </c>
      <c r="C50" s="1039"/>
      <c r="D50" s="1050"/>
      <c r="E50" s="1050"/>
      <c r="F50" s="1050"/>
      <c r="G50" s="1050"/>
      <c r="H50" s="1050"/>
      <c r="I50" s="1050"/>
      <c r="J50" s="1050"/>
      <c r="K50" s="1050"/>
      <c r="L50" s="1050"/>
    </row>
    <row r="51" spans="1:12" s="540" customFormat="1" ht="15" customHeight="1" x14ac:dyDescent="0.3">
      <c r="A51" s="423"/>
      <c r="B51" s="545"/>
      <c r="C51" s="545"/>
      <c r="D51" s="545"/>
      <c r="E51" s="545"/>
      <c r="F51" s="545"/>
      <c r="H51" s="1058" t="str">
        <f ca="1">Projektauftrag!$G$29</f>
        <v>Plan</v>
      </c>
      <c r="I51" s="1058"/>
      <c r="J51" s="657" t="str">
        <f ca="1">Projektauftrag!$H$29</f>
        <v>Réel</v>
      </c>
      <c r="K51" s="658"/>
      <c r="L51" s="657" t="str">
        <f ca="1">Projektauftrag!$J$29</f>
        <v>Solde</v>
      </c>
    </row>
    <row r="52" spans="1:12" s="540" customFormat="1" ht="21" customHeight="1" x14ac:dyDescent="0.3">
      <c r="A52" s="423"/>
      <c r="B52" s="659" t="str">
        <f ca="1">Projektauftrag!B30</f>
        <v>Ressources internes [CHF]</v>
      </c>
      <c r="C52" s="660"/>
      <c r="D52" s="660"/>
      <c r="E52" s="660"/>
      <c r="F52" s="660"/>
      <c r="G52" s="661"/>
      <c r="H52" s="1054">
        <f>Projektbudget!AT24</f>
        <v>640</v>
      </c>
      <c r="I52" s="1055"/>
      <c r="J52" s="662">
        <f>Projektbudget!BJ24</f>
        <v>0</v>
      </c>
      <c r="K52" s="942">
        <f>IFERROR(IF(AND(H52&gt;0,(J52/H52*100)=100),80,
IF(H52&gt;0,(J52/H52*100),"")),0)</f>
        <v>0</v>
      </c>
      <c r="L52" s="662">
        <f>Projektbudget!BZ24</f>
        <v>640</v>
      </c>
    </row>
    <row r="53" spans="1:12" s="540" customFormat="1" ht="6" customHeight="1" x14ac:dyDescent="0.3">
      <c r="A53" s="423"/>
      <c r="B53" s="545"/>
      <c r="C53" s="545"/>
      <c r="D53" s="545"/>
      <c r="E53" s="545"/>
      <c r="F53" s="545"/>
      <c r="H53" s="663"/>
      <c r="I53" s="664"/>
      <c r="J53" s="665"/>
      <c r="K53" s="943"/>
      <c r="L53" s="665"/>
    </row>
    <row r="54" spans="1:12" s="540" customFormat="1" ht="21" customHeight="1" x14ac:dyDescent="0.3">
      <c r="A54" s="423"/>
      <c r="B54" s="659" t="str">
        <f ca="1">Projektauftrag!B32</f>
        <v>Ressources externes [CHF]</v>
      </c>
      <c r="C54" s="660"/>
      <c r="D54" s="660"/>
      <c r="E54" s="660"/>
      <c r="F54" s="660"/>
      <c r="G54" s="661"/>
      <c r="H54" s="1054">
        <f>Projektbudget!AT59</f>
        <v>0</v>
      </c>
      <c r="I54" s="1055">
        <f>Projektauftrag!$G$32</f>
        <v>0</v>
      </c>
      <c r="J54" s="662">
        <f>Projektbudget!BJ59</f>
        <v>0</v>
      </c>
      <c r="K54" s="942">
        <f>IFERROR(IF(AND(H54&gt;0,(J54/H54*100)=100),80,
IF(H54&gt;0,(J54/H54*100),"")),0)</f>
        <v>0</v>
      </c>
      <c r="L54" s="662">
        <f>Projektbudget!BZ59</f>
        <v>0</v>
      </c>
    </row>
    <row r="55" spans="1:12" s="540" customFormat="1" ht="6" customHeight="1" x14ac:dyDescent="0.3">
      <c r="A55" s="3"/>
      <c r="B55" s="545"/>
      <c r="C55" s="545"/>
      <c r="D55" s="545"/>
      <c r="E55" s="545"/>
      <c r="F55" s="545"/>
      <c r="H55" s="663"/>
      <c r="I55" s="664"/>
      <c r="J55" s="665"/>
      <c r="K55" s="943"/>
      <c r="L55" s="666"/>
    </row>
    <row r="56" spans="1:12" s="540" customFormat="1" ht="21" customHeight="1" x14ac:dyDescent="0.3">
      <c r="A56" s="423"/>
      <c r="B56" s="667" t="str">
        <f ca="1">Projektauftrag!B34</f>
        <v>TOTAL RESSOURCES</v>
      </c>
      <c r="C56" s="668"/>
      <c r="D56" s="668"/>
      <c r="E56" s="668"/>
      <c r="F56" s="668"/>
      <c r="G56" s="648"/>
      <c r="H56" s="1056">
        <f>Projektbudget!AT61</f>
        <v>640</v>
      </c>
      <c r="I56" s="1057">
        <f>Projektauftrag!$G$34</f>
        <v>640</v>
      </c>
      <c r="J56" s="669">
        <f>Projektbudget!BJ61</f>
        <v>0</v>
      </c>
      <c r="K56" s="942">
        <f>IFERROR(IF(AND(H56&gt;0,(J56/H56*100)=100),80,
IF(H56&gt;0,(J56/H56*100),"")),0)</f>
        <v>0</v>
      </c>
      <c r="L56" s="669">
        <f>Projektbudget!BZ61</f>
        <v>640</v>
      </c>
    </row>
    <row r="57" spans="1:12" s="540" customFormat="1" ht="6" customHeight="1" x14ac:dyDescent="0.3">
      <c r="A57" s="423"/>
      <c r="B57" s="545"/>
      <c r="C57" s="545"/>
      <c r="D57" s="545"/>
      <c r="E57" s="545"/>
      <c r="F57" s="545"/>
      <c r="H57" s="663"/>
      <c r="I57" s="664"/>
      <c r="J57" s="665"/>
      <c r="K57" s="943"/>
      <c r="L57" s="665"/>
    </row>
    <row r="58" spans="1:12" s="540" customFormat="1" ht="21" customHeight="1" x14ac:dyDescent="0.3">
      <c r="A58" s="423"/>
      <c r="B58" s="659" t="str">
        <f ca="1">' '!A210</f>
        <v>Financement externe (p.ex. clients, subventions etc.)</v>
      </c>
      <c r="C58" s="660"/>
      <c r="D58" s="660"/>
      <c r="E58" s="660"/>
      <c r="F58" s="660"/>
      <c r="G58" s="661"/>
      <c r="H58" s="1054">
        <f>Projektbudget!AT77</f>
        <v>0</v>
      </c>
      <c r="I58" s="1055"/>
      <c r="J58" s="662">
        <f>Projektbudget!BJ77</f>
        <v>0</v>
      </c>
      <c r="K58" s="942"/>
      <c r="L58" s="662">
        <f>Projektbudget!BZ77</f>
        <v>0</v>
      </c>
    </row>
    <row r="59" spans="1:12" s="540" customFormat="1" ht="6" customHeight="1" x14ac:dyDescent="0.3">
      <c r="A59" s="3"/>
      <c r="B59" s="545"/>
      <c r="C59" s="545"/>
      <c r="D59" s="545"/>
      <c r="E59" s="545"/>
      <c r="F59" s="545"/>
      <c r="I59" s="565"/>
      <c r="J59" s="565"/>
      <c r="K59" s="558"/>
      <c r="L59" s="670"/>
    </row>
    <row r="60" spans="1:12" s="540" customFormat="1" x14ac:dyDescent="0.3">
      <c r="A60" s="423"/>
      <c r="B60" s="381" t="str">
        <f ca="1">Projektauftrag!B48</f>
        <v>Commentaires/pièces jointes</v>
      </c>
      <c r="C60" s="671"/>
      <c r="D60" s="671"/>
      <c r="E60" s="671"/>
      <c r="F60" s="671"/>
      <c r="G60" s="671"/>
      <c r="H60" s="671"/>
      <c r="I60" s="671"/>
      <c r="J60" s="671"/>
      <c r="K60" s="671"/>
      <c r="L60" s="671"/>
    </row>
    <row r="61" spans="1:12" s="540" customFormat="1" x14ac:dyDescent="0.3">
      <c r="A61" s="423"/>
      <c r="B61" s="1031"/>
      <c r="C61" s="1032"/>
      <c r="D61" s="1032"/>
      <c r="E61" s="1032"/>
      <c r="F61" s="1032"/>
      <c r="G61" s="1032"/>
      <c r="H61" s="1032"/>
      <c r="I61" s="1032"/>
      <c r="J61" s="1032"/>
      <c r="K61" s="1032"/>
      <c r="L61" s="1033"/>
    </row>
    <row r="62" spans="1:12" s="540" customFormat="1" x14ac:dyDescent="0.3">
      <c r="A62" s="423"/>
      <c r="B62" s="1025"/>
      <c r="C62" s="1026"/>
      <c r="D62" s="1026"/>
      <c r="E62" s="1026"/>
      <c r="F62" s="1026"/>
      <c r="G62" s="1026"/>
      <c r="H62" s="1026"/>
      <c r="I62" s="1026"/>
      <c r="J62" s="1026"/>
      <c r="K62" s="1026"/>
      <c r="L62" s="1027"/>
    </row>
    <row r="63" spans="1:12" s="540" customFormat="1" x14ac:dyDescent="0.3">
      <c r="A63" s="423"/>
      <c r="B63" s="1025"/>
      <c r="C63" s="1026"/>
      <c r="D63" s="1026"/>
      <c r="E63" s="1026"/>
      <c r="F63" s="1026"/>
      <c r="G63" s="1026"/>
      <c r="H63" s="1026"/>
      <c r="I63" s="1026"/>
      <c r="J63" s="1026"/>
      <c r="K63" s="1026"/>
      <c r="L63" s="1027"/>
    </row>
    <row r="64" spans="1:12" s="540" customFormat="1" x14ac:dyDescent="0.3">
      <c r="A64" s="423"/>
      <c r="B64" s="1025"/>
      <c r="C64" s="1026"/>
      <c r="D64" s="1026"/>
      <c r="E64" s="1026"/>
      <c r="F64" s="1026"/>
      <c r="G64" s="1026"/>
      <c r="H64" s="1026"/>
      <c r="I64" s="1026"/>
      <c r="J64" s="1026"/>
      <c r="K64" s="1026"/>
      <c r="L64" s="1027"/>
    </row>
    <row r="65" spans="1:12" s="540" customFormat="1" x14ac:dyDescent="0.3">
      <c r="A65" s="3"/>
      <c r="B65" s="1028"/>
      <c r="C65" s="1029"/>
      <c r="D65" s="1029"/>
      <c r="E65" s="1029"/>
      <c r="F65" s="1029"/>
      <c r="G65" s="1029"/>
      <c r="H65" s="1029"/>
      <c r="I65" s="1029"/>
      <c r="J65" s="1029"/>
      <c r="K65" s="1029"/>
      <c r="L65" s="1030"/>
    </row>
    <row r="66" spans="1:12" s="540" customFormat="1" x14ac:dyDescent="0.3">
      <c r="A66" s="423"/>
      <c r="B66" s="520" t="s">
        <v>1705</v>
      </c>
      <c r="C66" s="73"/>
    </row>
  </sheetData>
  <sheetProtection sheet="1" objects="1" scenarios="1" formatCells="0" formatColumns="0" formatRows="0" insertHyperlinks="0" selectLockedCells="1" sort="0" autoFilter="0"/>
  <mergeCells count="58">
    <mergeCell ref="B47:L47"/>
    <mergeCell ref="B44:L44"/>
    <mergeCell ref="B32:L32"/>
    <mergeCell ref="B33:L33"/>
    <mergeCell ref="B34:L34"/>
    <mergeCell ref="B35:L35"/>
    <mergeCell ref="B42:L42"/>
    <mergeCell ref="B31:L31"/>
    <mergeCell ref="B62:L62"/>
    <mergeCell ref="B38:L38"/>
    <mergeCell ref="B43:J43"/>
    <mergeCell ref="H52:I52"/>
    <mergeCell ref="H54:I54"/>
    <mergeCell ref="H58:I58"/>
    <mergeCell ref="H56:I56"/>
    <mergeCell ref="B50:L50"/>
    <mergeCell ref="H51:I51"/>
    <mergeCell ref="B39:L39"/>
    <mergeCell ref="B40:L40"/>
    <mergeCell ref="B41:L41"/>
    <mergeCell ref="B45:L45"/>
    <mergeCell ref="B46:L46"/>
    <mergeCell ref="B36:L36"/>
    <mergeCell ref="B10:C10"/>
    <mergeCell ref="B11:C11"/>
    <mergeCell ref="B12:C12"/>
    <mergeCell ref="B30:L30"/>
    <mergeCell ref="B13:C13"/>
    <mergeCell ref="B24:K24"/>
    <mergeCell ref="B29:K29"/>
    <mergeCell ref="B23:J23"/>
    <mergeCell ref="B25:K25"/>
    <mergeCell ref="B26:K26"/>
    <mergeCell ref="B27:K27"/>
    <mergeCell ref="B28:K28"/>
    <mergeCell ref="B16:L21"/>
    <mergeCell ref="B3:C3"/>
    <mergeCell ref="J3:K3"/>
    <mergeCell ref="E3:G3"/>
    <mergeCell ref="H3:I3"/>
    <mergeCell ref="B15:L15"/>
    <mergeCell ref="B8:L8"/>
    <mergeCell ref="B4:C4"/>
    <mergeCell ref="E4:G4"/>
    <mergeCell ref="H4:I4"/>
    <mergeCell ref="J4:K4"/>
    <mergeCell ref="B5:C5"/>
    <mergeCell ref="E5:G5"/>
    <mergeCell ref="H5:I5"/>
    <mergeCell ref="J5:K5"/>
    <mergeCell ref="B6:C6"/>
    <mergeCell ref="D6:L6"/>
    <mergeCell ref="B48:C48"/>
    <mergeCell ref="B63:L63"/>
    <mergeCell ref="B64:L64"/>
    <mergeCell ref="B65:L65"/>
    <mergeCell ref="B61:L61"/>
    <mergeCell ref="D48:L48"/>
  </mergeCells>
  <conditionalFormatting sqref="E10:E13">
    <cfRule type="iconSet" priority="37">
      <iconSet iconSet="3Symbols2" showValue="0" reverse="1">
        <cfvo type="percent" val="0"/>
        <cfvo type="num" val="1.25"/>
        <cfvo type="num" val="2.25"/>
      </iconSet>
    </cfRule>
  </conditionalFormatting>
  <conditionalFormatting sqref="L52 L54 L56">
    <cfRule type="cellIs" dxfId="132" priority="35" operator="lessThan">
      <formula>0</formula>
    </cfRule>
  </conditionalFormatting>
  <conditionalFormatting sqref="L58">
    <cfRule type="cellIs" dxfId="131" priority="30" operator="lessThan">
      <formula>0</formula>
    </cfRule>
  </conditionalFormatting>
  <conditionalFormatting sqref="L24:L29">
    <cfRule type="dataBar" priority="26">
      <dataBar>
        <cfvo type="num" val="0"/>
        <cfvo type="num" val="1"/>
        <color theme="6" tint="-0.249977111117893"/>
      </dataBar>
      <extLst>
        <ext xmlns:x14="http://schemas.microsoft.com/office/spreadsheetml/2009/9/main" uri="{B025F937-C7B1-47D3-B67F-A62EFF666E3E}">
          <x14:id>{23030EAB-14FA-45C1-9C6D-A11BDD5BCF40}</x14:id>
        </ext>
      </extLst>
    </cfRule>
  </conditionalFormatting>
  <conditionalFormatting sqref="M24:M29">
    <cfRule type="expression" dxfId="130" priority="11">
      <formula>$A24=1</formula>
    </cfRule>
    <cfRule type="expression" dxfId="129" priority="12">
      <formula>$A24=2</formula>
    </cfRule>
    <cfRule type="expression" dxfId="128" priority="13">
      <formula>$A24=3</formula>
    </cfRule>
    <cfRule type="expression" dxfId="127" priority="14">
      <formula>$A24=4</formula>
    </cfRule>
    <cfRule type="expression" dxfId="126" priority="15">
      <formula>$A24=5</formula>
    </cfRule>
    <cfRule type="expression" dxfId="125" priority="16">
      <formula>$A24=6</formula>
    </cfRule>
    <cfRule type="expression" dxfId="124" priority="17">
      <formula>$A24=7</formula>
    </cfRule>
    <cfRule type="expression" dxfId="123" priority="18">
      <formula>$A24=8</formula>
    </cfRule>
    <cfRule type="expression" dxfId="122" priority="19">
      <formula>$A24=9</formula>
    </cfRule>
    <cfRule type="expression" dxfId="121" priority="20">
      <formula>$A24=10</formula>
    </cfRule>
  </conditionalFormatting>
  <dataValidations count="2">
    <dataValidation type="list" allowBlank="1" showInputMessage="1" showErrorMessage="1" sqref="E10:E13" xr:uid="{00000000-0002-0000-0800-000000000000}">
      <formula1>"1,2,3"</formula1>
    </dataValidation>
    <dataValidation type="date" errorStyle="warning" operator="greaterThanOrEqual" allowBlank="1" showInputMessage="1" showErrorMessage="1" errorTitle="Falsches Datum - Fausse date!" sqref="H5:I5" xr:uid="{00000000-0002-0000-0800-000001000000}">
      <formula1>TODAY()</formula1>
    </dataValidation>
  </dataValidations>
  <hyperlinks>
    <hyperlink ref="M24" location="Indicators!C8" tooltip="Indicator" display="Indicators!C8" xr:uid="{00000000-0004-0000-0800-000000000000}"/>
    <hyperlink ref="M25:M29" location="Indicators!C8" tooltip="Indicator" display="Indicators!C8" xr:uid="{00000000-0004-0000-0800-000001000000}"/>
  </hyperlinks>
  <pageMargins left="0.19685039370078741" right="0.19685039370078741" top="0.11811023622047245" bottom="0.23622047244094491" header="0" footer="0.19685039370078741"/>
  <pageSetup paperSize="9" scale="82" orientation="portrait" r:id="rId1"/>
  <headerFooter scaleWithDoc="0">
    <oddFooter>&amp;L&amp;8&amp;K01+049(c) s. imboden&amp;C&amp;8&amp;K01+049printed &amp;D&amp;R&amp;8&amp;K03+000&amp;P/&amp;N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3030EAB-14FA-45C1-9C6D-A11BDD5BCF40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theme="6" tint="0.39997558519241921"/>
              <x14:negativeFillColor rgb="FFFF0000"/>
              <x14:negativeBorderColor rgb="FFFF0000"/>
              <x14:axisColor rgb="FF000000"/>
            </x14:dataBar>
          </x14:cfRule>
          <xm:sqref>L24:L29</xm:sqref>
        </x14:conditionalFormatting>
        <x14:conditionalFormatting xmlns:xm="http://schemas.microsoft.com/office/excel/2006/main">
          <x14:cfRule type="expression" priority="32" id="{1649E75F-65A5-43B8-ADAA-88859A23F3E8}">
            <xm:f>AND(Projektauftrag!$G$4="")</xm:f>
            <x14:dxf>
              <fill>
                <patternFill>
                  <bgColor rgb="FFFF0000"/>
                </patternFill>
              </fill>
            </x14:dxf>
          </x14:cfRule>
          <xm:sqref>H3:I3</xm:sqref>
        </x14:conditionalFormatting>
        <x14:conditionalFormatting xmlns:xm="http://schemas.microsoft.com/office/excel/2006/main">
          <x14:cfRule type="expression" priority="31" id="{F2809C95-0C63-4503-91FA-640B0706F64F}">
            <xm:f>AND(Projektauftrag!$J$4="")</xm:f>
            <x14:dxf>
              <fill>
                <patternFill>
                  <bgColor rgb="FFFF0000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iconSet" priority="29" id="{3A54EAB5-298B-4C41-8ABB-2253E1DD26AC}">
            <x14:iconSet showValue="0" custom="1">
              <x14:cfvo type="percent">
                <xm:f>0</xm:f>
              </x14:cfvo>
              <x14:cfvo type="num">
                <xm:f>80</xm:f>
              </x14:cfvo>
              <x14:cfvo type="num">
                <xm:f>100</xm:f>
              </x14:cfvo>
              <x14:cfIcon iconSet="3Symbols" iconId="2"/>
              <x14:cfIcon iconSet="3Symbols" iconId="1"/>
              <x14:cfIcon iconSet="3Symbols" iconId="0"/>
            </x14:iconSet>
          </x14:cfRule>
          <xm:sqref>K58</xm:sqref>
        </x14:conditionalFormatting>
        <x14:conditionalFormatting xmlns:xm="http://schemas.microsoft.com/office/excel/2006/main">
          <x14:cfRule type="iconSet" priority="25" id="{53A4BBCA-AFF7-4F8D-B84F-466672ADE379}">
            <x14:iconSet iconSet="3Sign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Signs" iconId="0"/>
              <x14:cfIcon iconSet="3Signs" iconId="0"/>
              <x14:cfIcon iconSet="3Signs" iconId="0"/>
            </x14:iconSet>
          </x14:cfRule>
          <xm:sqref>A48:A49</xm:sqref>
        </x14:conditionalFormatting>
        <x14:conditionalFormatting xmlns:xm="http://schemas.microsoft.com/office/excel/2006/main">
          <x14:cfRule type="iconSet" priority="21" id="{2B20B760-85EE-45D9-8FBB-3023090CD0A8}">
            <x14:iconSet showValue="0" custom="1">
              <x14:cfvo type="percent">
                <xm:f>0</xm:f>
              </x14:cfvo>
              <x14:cfvo type="num" gte="0">
                <xm:f>90</xm:f>
              </x14:cfvo>
              <x14:cfvo type="num" gte="0">
                <xm:f>100</xm:f>
              </x14:cfvo>
              <x14:cfIcon iconSet="3Symbols" iconId="2"/>
              <x14:cfIcon iconSet="3Symbols" iconId="1"/>
              <x14:cfIcon iconSet="3Symbols" iconId="0"/>
            </x14:iconSet>
          </x14:cfRule>
          <xm:sqref>K52:K56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bschluss">
    <tabColor theme="3" tint="0.59999389629810485"/>
    <pageSetUpPr fitToPage="1"/>
  </sheetPr>
  <dimension ref="A1:L56"/>
  <sheetViews>
    <sheetView showGridLines="0" showRowColHeaders="0" zoomScaleNormal="100" zoomScaleSheetLayoutView="100" workbookViewId="0">
      <pane ySplit="1" topLeftCell="A2" activePane="bottomLeft" state="frozen"/>
      <selection activeCell="C28" sqref="C28"/>
      <selection pane="bottomLeft"/>
    </sheetView>
  </sheetViews>
  <sheetFormatPr baseColWidth="10" defaultColWidth="11.44140625" defaultRowHeight="14.4" x14ac:dyDescent="0.3"/>
  <cols>
    <col min="1" max="1" width="7" style="423" customWidth="1"/>
    <col min="2" max="2" width="12.88671875" style="422" customWidth="1"/>
    <col min="3" max="3" width="4.88671875" style="422" customWidth="1"/>
    <col min="4" max="4" width="19.109375" style="422" customWidth="1"/>
    <col min="5" max="6" width="5.5546875" style="422" customWidth="1"/>
    <col min="7" max="7" width="6.5546875" style="422" customWidth="1"/>
    <col min="8" max="8" width="3.88671875" style="422" customWidth="1"/>
    <col min="9" max="9" width="12.44140625" style="422" bestFit="1" customWidth="1"/>
    <col min="10" max="10" width="15.5546875" style="422" bestFit="1" customWidth="1"/>
    <col min="11" max="11" width="2.5546875" style="422" customWidth="1"/>
    <col min="12" max="12" width="16.44140625" style="422" customWidth="1"/>
    <col min="13" max="65" width="3" style="422" customWidth="1"/>
    <col min="66" max="16384" width="11.44140625" style="422"/>
  </cols>
  <sheetData>
    <row r="1" spans="1:12" s="1" customFormat="1" ht="45" customHeight="1" x14ac:dyDescent="0.6">
      <c r="A1" s="528"/>
      <c r="B1" s="672" t="str">
        <f ca="1">' '!A167</f>
        <v>R A P P O R T   F I N A L</v>
      </c>
      <c r="C1" s="673"/>
      <c r="D1" s="673"/>
      <c r="E1" s="673"/>
      <c r="F1" s="674"/>
      <c r="G1" s="673"/>
      <c r="H1" s="674"/>
      <c r="I1" s="673"/>
      <c r="J1" s="674"/>
      <c r="K1" s="673"/>
      <c r="L1" s="675"/>
    </row>
    <row r="2" spans="1:12" s="62" customFormat="1" ht="24" customHeight="1" x14ac:dyDescent="0.3">
      <c r="A2" s="3"/>
      <c r="B2" s="401"/>
    </row>
    <row r="3" spans="1:12" x14ac:dyDescent="0.3">
      <c r="A3" s="73"/>
      <c r="B3" s="1021" t="str">
        <f ca="1">Projektauftrag!B4</f>
        <v>No. de projet :</v>
      </c>
      <c r="C3" s="1021"/>
      <c r="D3" s="676" t="str">
        <f>IF(Projektauftrag!D4&lt;&gt;"",Projektauftrag!D4,' '!A164)</f>
        <v>P1</v>
      </c>
      <c r="E3" s="1021" t="str">
        <f ca="1">Projektauftrag!E4</f>
        <v>Début:</v>
      </c>
      <c r="F3" s="1021"/>
      <c r="G3" s="1021">
        <f ca="1">Projektauftrag!G4</f>
        <v>46049</v>
      </c>
      <c r="H3" s="1067">
        <f ca="1">IF(Projektauftrag!G4&lt;&gt;"",Projektauftrag!G4,' '!A164)</f>
        <v>46049</v>
      </c>
      <c r="I3" s="1068"/>
      <c r="J3" s="1021" t="str">
        <f ca="1">Projektauftrag!H4</f>
        <v>Fin:</v>
      </c>
      <c r="K3" s="1021"/>
      <c r="L3" s="677">
        <f ca="1">IF(Projektauftrag!J4&lt;&gt;"",Projektauftrag!J4,' '!A164)</f>
        <v>46799</v>
      </c>
    </row>
    <row r="4" spans="1:12" ht="24" customHeight="1" x14ac:dyDescent="0.3">
      <c r="B4" s="1060" t="str">
        <f ca="1">Projektauftrag!B5</f>
        <v>Nom du projet :</v>
      </c>
      <c r="C4" s="1060"/>
      <c r="D4" s="678" t="str">
        <f>IF(Projektauftrag!D5&lt;&gt;"",Projektauftrag!D5,' '!A164)</f>
        <v>Projet xy</v>
      </c>
      <c r="E4" s="1060" t="str">
        <f ca="1">Projektauftrag!E5</f>
        <v>Mandant:</v>
      </c>
      <c r="F4" s="1060"/>
      <c r="G4" s="1060"/>
      <c r="H4" s="1061" t="str">
        <f>IF(Projektauftrag!G5&lt;&gt;"",Projektauftrag!G5,' '!A164)</f>
        <v>xyz xxx</v>
      </c>
      <c r="I4" s="1061"/>
      <c r="J4" s="1060" t="str">
        <f ca="1">Projektauftrag!H5</f>
        <v>Chef de projet :</v>
      </c>
      <c r="K4" s="1060"/>
      <c r="L4" s="679" t="str">
        <f>IF(Projektauftrag!J5&lt;&gt;"",Projektauftrag!J5,' '!A164)</f>
        <v>abc def (abc)</v>
      </c>
    </row>
    <row r="5" spans="1:12" x14ac:dyDescent="0.3">
      <c r="B5" s="1060" t="str">
        <f ca="1">Projektauftrag!B6</f>
        <v>Section :</v>
      </c>
      <c r="C5" s="1060"/>
      <c r="D5" s="679" t="str">
        <f ca="1">IF(Projektauftrag!D6&lt;&gt;"",Projektauftrag!D6,' '!A164)</f>
        <v>Voir mandat</v>
      </c>
      <c r="E5" s="1060" t="str">
        <f ca="1">Projektauftrag!E6</f>
        <v>modifié le :</v>
      </c>
      <c r="F5" s="1060"/>
      <c r="G5" s="1060"/>
      <c r="H5" s="971"/>
      <c r="I5" s="971"/>
      <c r="J5" s="1060" t="str">
        <f ca="1">Projektauftrag!H6</f>
        <v>Remplaçant/e :</v>
      </c>
      <c r="K5" s="1060"/>
      <c r="L5" s="679" t="str">
        <f ca="1">IF(Projektauftrag!J6&lt;&gt;"",Projektauftrag!J6,' '!A164)</f>
        <v>Voir mandat</v>
      </c>
    </row>
    <row r="6" spans="1:12" ht="25.5" customHeight="1" x14ac:dyDescent="0.3">
      <c r="B6" s="1069" t="str">
        <f ca="1">Projektauftrag!B7</f>
        <v>Objectif stratégique</v>
      </c>
      <c r="C6" s="1069"/>
      <c r="D6" s="979" t="str">
        <f ca="1">IF(Projektauftrag!D7&lt;&gt;"",Projektauftrag!D7,' '!A164)</f>
        <v>Voir mandat</v>
      </c>
      <c r="E6" s="979"/>
      <c r="F6" s="979"/>
      <c r="G6" s="979"/>
      <c r="H6" s="979"/>
      <c r="I6" s="979"/>
      <c r="J6" s="979"/>
      <c r="K6" s="979"/>
      <c r="L6" s="979"/>
    </row>
    <row r="7" spans="1:12" x14ac:dyDescent="0.3">
      <c r="B7" s="431"/>
      <c r="C7" s="431"/>
      <c r="D7" s="432"/>
      <c r="E7" s="432"/>
      <c r="F7" s="432"/>
      <c r="G7" s="432"/>
      <c r="H7" s="432"/>
      <c r="I7" s="432"/>
      <c r="J7" s="432"/>
      <c r="K7" s="432"/>
      <c r="L7" s="432"/>
    </row>
    <row r="8" spans="1:12" s="540" customFormat="1" x14ac:dyDescent="0.3">
      <c r="A8" s="423"/>
      <c r="B8" s="1062" t="str">
        <f ca="1">' '!A168</f>
        <v>Projet couronné de succès ?</v>
      </c>
      <c r="C8" s="1062"/>
      <c r="D8" s="1062"/>
      <c r="E8" s="1063" t="str">
        <f ca="1">IF($H8=1,' '!$A$169,
IF($H8=2,' '!$A$172,
IF($H8=3,' '!$A$174)))</f>
        <v>oui</v>
      </c>
      <c r="F8" s="1063"/>
      <c r="G8" s="1063"/>
      <c r="H8" s="112">
        <v>1</v>
      </c>
      <c r="I8" s="680"/>
      <c r="J8" s="680"/>
      <c r="K8" s="680"/>
      <c r="L8" s="680"/>
    </row>
    <row r="9" spans="1:12" s="540" customFormat="1" x14ac:dyDescent="0.3">
      <c r="A9" s="423"/>
      <c r="B9" s="681" t="str">
        <f ca="1">' '!A170</f>
        <v>Justification:</v>
      </c>
      <c r="C9" s="682"/>
      <c r="D9" s="682"/>
      <c r="E9" s="682"/>
      <c r="F9" s="682"/>
      <c r="G9" s="682"/>
      <c r="H9" s="682"/>
      <c r="I9" s="682"/>
      <c r="J9" s="682"/>
      <c r="K9" s="682"/>
      <c r="L9" s="682"/>
    </row>
    <row r="10" spans="1:12" s="540" customFormat="1" x14ac:dyDescent="0.3">
      <c r="A10" s="423"/>
      <c r="B10" s="1059"/>
      <c r="C10" s="1059"/>
      <c r="D10" s="1059"/>
      <c r="E10" s="1059"/>
      <c r="F10" s="1059"/>
      <c r="G10" s="1059"/>
      <c r="H10" s="1059"/>
      <c r="I10" s="1059"/>
      <c r="J10" s="1059"/>
      <c r="K10" s="1059"/>
      <c r="L10" s="1059"/>
    </row>
    <row r="11" spans="1:12" s="540" customFormat="1" x14ac:dyDescent="0.3">
      <c r="A11" s="423"/>
      <c r="B11" s="1059"/>
      <c r="C11" s="1059"/>
      <c r="D11" s="1059"/>
      <c r="E11" s="1059"/>
      <c r="F11" s="1059"/>
      <c r="G11" s="1059"/>
      <c r="H11" s="1059"/>
      <c r="I11" s="1059"/>
      <c r="J11" s="1059"/>
      <c r="K11" s="1059"/>
      <c r="L11" s="1059"/>
    </row>
    <row r="12" spans="1:12" s="540" customFormat="1" x14ac:dyDescent="0.3">
      <c r="A12" s="423"/>
      <c r="B12" s="1059"/>
      <c r="C12" s="1059"/>
      <c r="D12" s="1059"/>
      <c r="E12" s="1059"/>
      <c r="F12" s="1059"/>
      <c r="G12" s="1059"/>
      <c r="H12" s="1059"/>
      <c r="I12" s="1059"/>
      <c r="J12" s="1059"/>
      <c r="K12" s="1059"/>
      <c r="L12" s="1059"/>
    </row>
    <row r="13" spans="1:12" s="540" customFormat="1" x14ac:dyDescent="0.3">
      <c r="A13" s="423"/>
      <c r="B13" s="1059"/>
      <c r="C13" s="1059"/>
      <c r="D13" s="1059"/>
      <c r="E13" s="1059"/>
      <c r="F13" s="1059"/>
      <c r="G13" s="1059"/>
      <c r="H13" s="1059"/>
      <c r="I13" s="1059"/>
      <c r="J13" s="1059"/>
      <c r="K13" s="1059"/>
      <c r="L13" s="1059"/>
    </row>
    <row r="14" spans="1:12" s="540" customFormat="1" x14ac:dyDescent="0.3">
      <c r="A14" s="423"/>
      <c r="B14" s="1059"/>
      <c r="C14" s="1059"/>
      <c r="D14" s="1059"/>
      <c r="E14" s="1059"/>
      <c r="F14" s="1059"/>
      <c r="G14" s="1059"/>
      <c r="H14" s="1059"/>
      <c r="I14" s="1059"/>
      <c r="J14" s="1059"/>
      <c r="K14" s="1059"/>
      <c r="L14" s="1059"/>
    </row>
    <row r="15" spans="1:12" s="540" customFormat="1" x14ac:dyDescent="0.3">
      <c r="A15" s="423"/>
      <c r="B15" s="1059"/>
      <c r="C15" s="1059"/>
      <c r="D15" s="1059"/>
      <c r="E15" s="1059"/>
      <c r="F15" s="1059"/>
      <c r="G15" s="1059"/>
      <c r="H15" s="1059"/>
      <c r="I15" s="1059"/>
      <c r="J15" s="1059"/>
      <c r="K15" s="1059"/>
      <c r="L15" s="1059"/>
    </row>
    <row r="16" spans="1:12" s="540" customFormat="1" x14ac:dyDescent="0.3">
      <c r="A16" s="423"/>
      <c r="B16" s="1070" t="str">
        <f ca="1">' '!A171</f>
        <v>Est-ce que tous les objectifs ont été atteints?</v>
      </c>
      <c r="C16" s="1070"/>
      <c r="D16" s="1070"/>
      <c r="E16" s="1063" t="str">
        <f ca="1">IF($H16=1,' '!$A$169,
IF($H16=2,' '!$A$172,
IF($H16=3,' '!$A$174)))</f>
        <v>oui</v>
      </c>
      <c r="F16" s="1063"/>
      <c r="G16" s="1063"/>
      <c r="H16" s="112">
        <v>1</v>
      </c>
      <c r="I16" s="680"/>
      <c r="J16" s="680"/>
      <c r="K16" s="680"/>
      <c r="L16" s="680"/>
    </row>
    <row r="17" spans="1:12" s="540" customFormat="1" x14ac:dyDescent="0.3">
      <c r="A17" s="423"/>
      <c r="B17" s="681" t="str">
        <f ca="1">B9</f>
        <v>Justification:</v>
      </c>
      <c r="C17" s="682"/>
      <c r="D17" s="682"/>
      <c r="E17" s="682"/>
      <c r="F17" s="682"/>
      <c r="G17" s="682"/>
      <c r="H17" s="682"/>
      <c r="I17" s="682"/>
      <c r="J17" s="682"/>
      <c r="K17" s="682"/>
      <c r="L17" s="682"/>
    </row>
    <row r="18" spans="1:12" s="540" customFormat="1" x14ac:dyDescent="0.3">
      <c r="A18" s="423"/>
      <c r="B18" s="1059"/>
      <c r="C18" s="1059"/>
      <c r="D18" s="1059"/>
      <c r="E18" s="1059"/>
      <c r="F18" s="1059"/>
      <c r="G18" s="1059"/>
      <c r="H18" s="1059"/>
      <c r="I18" s="1059"/>
      <c r="J18" s="1059"/>
      <c r="K18" s="1059"/>
      <c r="L18" s="1059"/>
    </row>
    <row r="19" spans="1:12" s="540" customFormat="1" x14ac:dyDescent="0.3">
      <c r="A19" s="423"/>
      <c r="B19" s="1059"/>
      <c r="C19" s="1059"/>
      <c r="D19" s="1059"/>
      <c r="E19" s="1059"/>
      <c r="F19" s="1059"/>
      <c r="G19" s="1059"/>
      <c r="H19" s="1059"/>
      <c r="I19" s="1059"/>
      <c r="J19" s="1059"/>
      <c r="K19" s="1059"/>
      <c r="L19" s="1059"/>
    </row>
    <row r="20" spans="1:12" s="540" customFormat="1" x14ac:dyDescent="0.3">
      <c r="A20" s="423"/>
      <c r="B20" s="1059"/>
      <c r="C20" s="1059"/>
      <c r="D20" s="1059"/>
      <c r="E20" s="1059"/>
      <c r="F20" s="1059"/>
      <c r="G20" s="1059"/>
      <c r="H20" s="1059"/>
      <c r="I20" s="1059"/>
      <c r="J20" s="1059"/>
      <c r="K20" s="1059"/>
      <c r="L20" s="1059"/>
    </row>
    <row r="21" spans="1:12" s="540" customFormat="1" x14ac:dyDescent="0.3">
      <c r="A21" s="423"/>
      <c r="B21" s="1059"/>
      <c r="C21" s="1059"/>
      <c r="D21" s="1059"/>
      <c r="E21" s="1059"/>
      <c r="F21" s="1059"/>
      <c r="G21" s="1059"/>
      <c r="H21" s="1059"/>
      <c r="I21" s="1059"/>
      <c r="J21" s="1059"/>
      <c r="K21" s="1059"/>
      <c r="L21" s="1059"/>
    </row>
    <row r="22" spans="1:12" s="540" customFormat="1" x14ac:dyDescent="0.3">
      <c r="A22" s="423"/>
      <c r="B22" s="1059"/>
      <c r="C22" s="1059"/>
      <c r="D22" s="1059"/>
      <c r="E22" s="1059"/>
      <c r="F22" s="1059"/>
      <c r="G22" s="1059"/>
      <c r="H22" s="1059"/>
      <c r="I22" s="1059"/>
      <c r="J22" s="1059"/>
      <c r="K22" s="1059"/>
      <c r="L22" s="1059"/>
    </row>
    <row r="23" spans="1:12" s="540" customFormat="1" x14ac:dyDescent="0.3">
      <c r="A23" s="423"/>
      <c r="B23" s="1059"/>
      <c r="C23" s="1059"/>
      <c r="D23" s="1059"/>
      <c r="E23" s="1059"/>
      <c r="F23" s="1059"/>
      <c r="G23" s="1059"/>
      <c r="H23" s="1059"/>
      <c r="I23" s="1059"/>
      <c r="J23" s="1059"/>
      <c r="K23" s="1059"/>
      <c r="L23" s="1059"/>
    </row>
    <row r="24" spans="1:12" s="540" customFormat="1" x14ac:dyDescent="0.3">
      <c r="A24" s="423"/>
      <c r="B24" s="1062" t="str">
        <f ca="1">' '!A173</f>
        <v>Le budget a-t-il été respecté ?</v>
      </c>
      <c r="C24" s="1062"/>
      <c r="D24" s="1062"/>
      <c r="E24" s="1063" t="str">
        <f ca="1">IF($H24=1,' '!$A$169,
IF($H24=2,' '!$A$172,
IF($H24=3,' '!$A$174)))</f>
        <v>oui</v>
      </c>
      <c r="F24" s="1063"/>
      <c r="G24" s="1063"/>
      <c r="H24" s="113">
        <v>1</v>
      </c>
      <c r="I24" s="680"/>
      <c r="J24" s="680"/>
      <c r="K24" s="680"/>
      <c r="L24" s="680"/>
    </row>
    <row r="25" spans="1:12" s="540" customFormat="1" ht="15" customHeight="1" x14ac:dyDescent="0.3">
      <c r="A25" s="423"/>
      <c r="B25" s="545"/>
      <c r="C25" s="545"/>
      <c r="D25" s="545"/>
      <c r="E25" s="545"/>
      <c r="F25" s="545"/>
      <c r="H25" s="1066" t="str">
        <f ca="1">Projektauftrag!$G$29</f>
        <v>Plan</v>
      </c>
      <c r="I25" s="1066"/>
      <c r="J25" s="683" t="str">
        <f ca="1">Projektauftrag!$H$29</f>
        <v>Réel</v>
      </c>
      <c r="L25" s="547" t="str">
        <f ca="1">Projektauftrag!$J$29</f>
        <v>Solde</v>
      </c>
    </row>
    <row r="26" spans="1:12" s="540" customFormat="1" ht="21" customHeight="1" x14ac:dyDescent="0.3">
      <c r="A26" s="423"/>
      <c r="B26" s="684" t="str">
        <f ca="1">Projektauftrag!$B$30</f>
        <v>Ressources internes [CHF]</v>
      </c>
      <c r="C26" s="685"/>
      <c r="D26" s="685"/>
      <c r="E26" s="685"/>
      <c r="F26" s="685"/>
      <c r="G26" s="686"/>
      <c r="H26" s="1064">
        <f>Projektbudget!AT24</f>
        <v>640</v>
      </c>
      <c r="I26" s="1064"/>
      <c r="J26" s="687">
        <f>Projektbudget!BJ24</f>
        <v>0</v>
      </c>
      <c r="K26" s="553">
        <f>IFERROR(IF(AND(H26&gt;0,(J26/H26*100)=100),80,
IF(H26&gt;0,(J26/H26*100),"")),0)</f>
        <v>0</v>
      </c>
      <c r="L26" s="688">
        <f>Projektbudget!BZ24</f>
        <v>640</v>
      </c>
    </row>
    <row r="27" spans="1:12" s="540" customFormat="1" ht="6" customHeight="1" x14ac:dyDescent="0.3">
      <c r="A27" s="423"/>
      <c r="B27" s="545"/>
      <c r="C27" s="545"/>
      <c r="D27" s="545"/>
      <c r="E27" s="545"/>
      <c r="F27" s="545"/>
      <c r="H27" s="689"/>
      <c r="I27" s="690"/>
      <c r="J27" s="691"/>
      <c r="K27" s="558"/>
      <c r="L27" s="559"/>
    </row>
    <row r="28" spans="1:12" s="540" customFormat="1" ht="21" customHeight="1" x14ac:dyDescent="0.3">
      <c r="A28" s="423"/>
      <c r="B28" s="684" t="str">
        <f ca="1">Projektauftrag!$B$32</f>
        <v>Ressources externes [CHF]</v>
      </c>
      <c r="C28" s="685"/>
      <c r="D28" s="685"/>
      <c r="E28" s="685"/>
      <c r="F28" s="685"/>
      <c r="G28" s="686"/>
      <c r="H28" s="1064">
        <f>Projektbudget!AT59</f>
        <v>0</v>
      </c>
      <c r="I28" s="1064">
        <f>Projektauftrag!$G$32</f>
        <v>0</v>
      </c>
      <c r="J28" s="687">
        <f>Projektbudget!BJ59</f>
        <v>0</v>
      </c>
      <c r="K28" s="553">
        <f>IFERROR(IF(AND(H28&gt;0,(J28/H28*100)=100),80,
IF(H28&gt;0,(J28/H28*100),"")),0)</f>
        <v>0</v>
      </c>
      <c r="L28" s="688">
        <f>Projektbudget!BZ59</f>
        <v>0</v>
      </c>
    </row>
    <row r="29" spans="1:12" s="540" customFormat="1" ht="6" customHeight="1" x14ac:dyDescent="0.3">
      <c r="A29" s="423"/>
      <c r="B29" s="545"/>
      <c r="C29" s="545"/>
      <c r="D29" s="545"/>
      <c r="E29" s="545"/>
      <c r="F29" s="545"/>
      <c r="H29" s="689"/>
      <c r="I29" s="690"/>
      <c r="J29" s="691"/>
      <c r="K29" s="558"/>
      <c r="L29" s="692"/>
    </row>
    <row r="30" spans="1:12" s="540" customFormat="1" ht="21" customHeight="1" x14ac:dyDescent="0.3">
      <c r="A30" s="423"/>
      <c r="B30" s="693" t="str">
        <f ca="1">Projektauftrag!$B$34</f>
        <v>TOTAL RESSOURCES</v>
      </c>
      <c r="C30" s="694"/>
      <c r="D30" s="694"/>
      <c r="E30" s="694"/>
      <c r="F30" s="694"/>
      <c r="G30" s="680"/>
      <c r="H30" s="1065">
        <f>Projektbudget!AT61</f>
        <v>640</v>
      </c>
      <c r="I30" s="1065">
        <f>Projektauftrag!$G$34</f>
        <v>640</v>
      </c>
      <c r="J30" s="695">
        <f>Projektbudget!BJ61</f>
        <v>0</v>
      </c>
      <c r="K30" s="553">
        <f>IFERROR(IF(AND(H30&gt;0,(J30/H30*100)=100),80,
IF(H30&gt;0,(J30/H30*100),"")),0)</f>
        <v>0</v>
      </c>
      <c r="L30" s="696">
        <f>Projektbudget!BZ61</f>
        <v>640</v>
      </c>
    </row>
    <row r="31" spans="1:12" s="540" customFormat="1" ht="6" customHeight="1" x14ac:dyDescent="0.3">
      <c r="A31" s="423"/>
      <c r="B31" s="545"/>
      <c r="C31" s="545"/>
      <c r="D31" s="545"/>
      <c r="E31" s="545"/>
      <c r="F31" s="545"/>
      <c r="H31" s="689"/>
      <c r="I31" s="690"/>
      <c r="J31" s="691"/>
      <c r="K31" s="558"/>
      <c r="L31" s="559"/>
    </row>
    <row r="32" spans="1:12" s="540" customFormat="1" ht="21" customHeight="1" x14ac:dyDescent="0.3">
      <c r="A32" s="423"/>
      <c r="B32" s="684" t="str">
        <f ca="1">' '!A210</f>
        <v>Financement externe (p.ex. clients, subventions etc.)</v>
      </c>
      <c r="C32" s="685"/>
      <c r="D32" s="685"/>
      <c r="E32" s="685"/>
      <c r="F32" s="685"/>
      <c r="G32" s="686"/>
      <c r="H32" s="1064">
        <f>Projektbudget!AT77</f>
        <v>0</v>
      </c>
      <c r="I32" s="1064"/>
      <c r="J32" s="687">
        <f>Projektbudget!BJ77</f>
        <v>0</v>
      </c>
      <c r="K32" s="553"/>
      <c r="L32" s="688">
        <f>Projektbudget!BZ77</f>
        <v>0</v>
      </c>
    </row>
    <row r="33" spans="1:12" s="540" customFormat="1" ht="6" customHeight="1" x14ac:dyDescent="0.3">
      <c r="A33" s="423"/>
      <c r="B33" s="545"/>
      <c r="C33" s="545"/>
      <c r="D33" s="545"/>
      <c r="E33" s="545"/>
      <c r="F33" s="545"/>
      <c r="I33" s="565"/>
      <c r="J33" s="565"/>
      <c r="K33" s="558"/>
      <c r="L33" s="670"/>
    </row>
    <row r="34" spans="1:12" s="540" customFormat="1" x14ac:dyDescent="0.3">
      <c r="A34" s="423"/>
      <c r="B34" s="681" t="str">
        <f ca="1">B17</f>
        <v>Justification:</v>
      </c>
      <c r="C34" s="682"/>
      <c r="D34" s="682"/>
      <c r="E34" s="682"/>
      <c r="F34" s="682"/>
      <c r="G34" s="682"/>
      <c r="H34" s="682"/>
      <c r="I34" s="682"/>
      <c r="J34" s="682"/>
      <c r="K34" s="682"/>
      <c r="L34" s="682"/>
    </row>
    <row r="35" spans="1:12" s="540" customFormat="1" x14ac:dyDescent="0.3">
      <c r="A35" s="423"/>
      <c r="B35" s="1059"/>
      <c r="C35" s="1059"/>
      <c r="D35" s="1059"/>
      <c r="E35" s="1059"/>
      <c r="F35" s="1059"/>
      <c r="G35" s="1059"/>
      <c r="H35" s="1059"/>
      <c r="I35" s="1059"/>
      <c r="J35" s="1059"/>
      <c r="K35" s="1059"/>
      <c r="L35" s="1059"/>
    </row>
    <row r="36" spans="1:12" s="540" customFormat="1" x14ac:dyDescent="0.3">
      <c r="A36" s="423"/>
      <c r="B36" s="1059"/>
      <c r="C36" s="1059"/>
      <c r="D36" s="1059"/>
      <c r="E36" s="1059"/>
      <c r="F36" s="1059"/>
      <c r="G36" s="1059"/>
      <c r="H36" s="1059"/>
      <c r="I36" s="1059"/>
      <c r="J36" s="1059"/>
      <c r="K36" s="1059"/>
      <c r="L36" s="1059"/>
    </row>
    <row r="37" spans="1:12" s="540" customFormat="1" x14ac:dyDescent="0.3">
      <c r="A37" s="423"/>
      <c r="B37" s="1059"/>
      <c r="C37" s="1059"/>
      <c r="D37" s="1059"/>
      <c r="E37" s="1059"/>
      <c r="F37" s="1059"/>
      <c r="G37" s="1059"/>
      <c r="H37" s="1059"/>
      <c r="I37" s="1059"/>
      <c r="J37" s="1059"/>
      <c r="K37" s="1059"/>
      <c r="L37" s="1059"/>
    </row>
    <row r="38" spans="1:12" s="540" customFormat="1" x14ac:dyDescent="0.3">
      <c r="A38" s="423"/>
      <c r="B38" s="1059"/>
      <c r="C38" s="1059"/>
      <c r="D38" s="1059"/>
      <c r="E38" s="1059"/>
      <c r="F38" s="1059"/>
      <c r="G38" s="1059"/>
      <c r="H38" s="1059"/>
      <c r="I38" s="1059"/>
      <c r="J38" s="1059"/>
      <c r="K38" s="1059"/>
      <c r="L38" s="1059"/>
    </row>
    <row r="39" spans="1:12" s="540" customFormat="1" x14ac:dyDescent="0.3">
      <c r="A39" s="423"/>
      <c r="B39" s="1059"/>
      <c r="C39" s="1059"/>
      <c r="D39" s="1059"/>
      <c r="E39" s="1059"/>
      <c r="F39" s="1059"/>
      <c r="G39" s="1059"/>
      <c r="H39" s="1059"/>
      <c r="I39" s="1059"/>
      <c r="J39" s="1059"/>
      <c r="K39" s="1059"/>
      <c r="L39" s="1059"/>
    </row>
    <row r="40" spans="1:12" s="540" customFormat="1" x14ac:dyDescent="0.3">
      <c r="A40" s="423"/>
      <c r="B40" s="1062" t="str">
        <f ca="1">' '!A176</f>
        <v>Quels sont les enseignements tirés du projet ? (Lessons Learned)</v>
      </c>
      <c r="C40" s="1062"/>
      <c r="D40" s="1062"/>
      <c r="E40" s="1062"/>
      <c r="F40" s="1062"/>
      <c r="G40" s="1062"/>
      <c r="H40" s="1062"/>
      <c r="I40" s="1062"/>
      <c r="J40" s="1062"/>
      <c r="K40" s="1062"/>
      <c r="L40" s="1062"/>
    </row>
    <row r="41" spans="1:12" s="540" customFormat="1" x14ac:dyDescent="0.3">
      <c r="A41" s="541" t="s">
        <v>12</v>
      </c>
      <c r="B41" s="1077"/>
      <c r="C41" s="1077"/>
      <c r="D41" s="1077"/>
      <c r="E41" s="1077"/>
      <c r="F41" s="1077"/>
      <c r="G41" s="1077"/>
      <c r="H41" s="1077"/>
      <c r="I41" s="1077"/>
      <c r="J41" s="1077"/>
      <c r="K41" s="1077"/>
      <c r="L41" s="1077"/>
    </row>
    <row r="42" spans="1:12" s="540" customFormat="1" x14ac:dyDescent="0.3">
      <c r="A42" s="541" t="s">
        <v>13</v>
      </c>
      <c r="B42" s="1077"/>
      <c r="C42" s="1077"/>
      <c r="D42" s="1077"/>
      <c r="E42" s="1077"/>
      <c r="F42" s="1077"/>
      <c r="G42" s="1077"/>
      <c r="H42" s="1077"/>
      <c r="I42" s="1077"/>
      <c r="J42" s="1077"/>
      <c r="K42" s="1077"/>
      <c r="L42" s="1077"/>
    </row>
    <row r="43" spans="1:12" s="540" customFormat="1" x14ac:dyDescent="0.3">
      <c r="A43" s="541" t="s">
        <v>8</v>
      </c>
      <c r="B43" s="1077"/>
      <c r="C43" s="1077"/>
      <c r="D43" s="1077"/>
      <c r="E43" s="1077"/>
      <c r="F43" s="1077"/>
      <c r="G43" s="1077"/>
      <c r="H43" s="1077"/>
      <c r="I43" s="1077"/>
      <c r="J43" s="1077"/>
      <c r="K43" s="1077"/>
      <c r="L43" s="1077"/>
    </row>
    <row r="44" spans="1:12" s="540" customFormat="1" x14ac:dyDescent="0.3">
      <c r="A44" s="541" t="s">
        <v>9</v>
      </c>
      <c r="B44" s="1077"/>
      <c r="C44" s="1077"/>
      <c r="D44" s="1077"/>
      <c r="E44" s="1077"/>
      <c r="F44" s="1077"/>
      <c r="G44" s="1077"/>
      <c r="H44" s="1077"/>
      <c r="I44" s="1077"/>
      <c r="J44" s="1077"/>
      <c r="K44" s="1077"/>
      <c r="L44" s="1077"/>
    </row>
    <row r="45" spans="1:12" s="540" customFormat="1" x14ac:dyDescent="0.3">
      <c r="A45" s="541" t="s">
        <v>10</v>
      </c>
      <c r="B45" s="1077"/>
      <c r="C45" s="1077"/>
      <c r="D45" s="1077"/>
      <c r="E45" s="1077"/>
      <c r="F45" s="1077"/>
      <c r="G45" s="1077"/>
      <c r="H45" s="1077"/>
      <c r="I45" s="1077"/>
      <c r="J45" s="1077"/>
      <c r="K45" s="1077"/>
      <c r="L45" s="1077"/>
    </row>
    <row r="46" spans="1:12" s="540" customFormat="1" x14ac:dyDescent="0.3">
      <c r="A46" s="541" t="s">
        <v>11</v>
      </c>
      <c r="B46" s="1077"/>
      <c r="C46" s="1077"/>
      <c r="D46" s="1077"/>
      <c r="E46" s="1077"/>
      <c r="F46" s="1077"/>
      <c r="G46" s="1077"/>
      <c r="H46" s="1077"/>
      <c r="I46" s="1077"/>
      <c r="J46" s="1077"/>
      <c r="K46" s="1077"/>
      <c r="L46" s="1077"/>
    </row>
    <row r="47" spans="1:12" s="540" customFormat="1" x14ac:dyDescent="0.3">
      <c r="A47" s="423"/>
      <c r="B47" s="1062" t="str">
        <f ca="1">' '!A89</f>
        <v>Commentaires/pièces jointes</v>
      </c>
      <c r="C47" s="1062"/>
      <c r="D47" s="1062"/>
      <c r="E47" s="1062"/>
      <c r="F47" s="1062"/>
      <c r="G47" s="1062"/>
      <c r="H47" s="1062"/>
      <c r="I47" s="1062"/>
      <c r="J47" s="1062"/>
      <c r="K47" s="1062"/>
      <c r="L47" s="1062"/>
    </row>
    <row r="48" spans="1:12" s="540" customFormat="1" x14ac:dyDescent="0.3">
      <c r="A48" s="423"/>
      <c r="B48" s="1059"/>
      <c r="C48" s="1059"/>
      <c r="D48" s="1059"/>
      <c r="E48" s="1059"/>
      <c r="F48" s="1059"/>
      <c r="G48" s="1059"/>
      <c r="H48" s="1059"/>
      <c r="I48" s="1059"/>
      <c r="J48" s="1059"/>
      <c r="K48" s="1059"/>
      <c r="L48" s="1059"/>
    </row>
    <row r="49" spans="1:12" s="540" customFormat="1" x14ac:dyDescent="0.3">
      <c r="A49" s="423"/>
      <c r="B49" s="1059"/>
      <c r="C49" s="1059"/>
      <c r="D49" s="1059"/>
      <c r="E49" s="1059"/>
      <c r="F49" s="1059"/>
      <c r="G49" s="1059"/>
      <c r="H49" s="1059"/>
      <c r="I49" s="1059"/>
      <c r="J49" s="1059"/>
      <c r="K49" s="1059"/>
      <c r="L49" s="1059"/>
    </row>
    <row r="50" spans="1:12" s="540" customFormat="1" x14ac:dyDescent="0.3">
      <c r="A50" s="423"/>
      <c r="B50" s="1059"/>
      <c r="C50" s="1059"/>
      <c r="D50" s="1059"/>
      <c r="E50" s="1059"/>
      <c r="F50" s="1059"/>
      <c r="G50" s="1059"/>
      <c r="H50" s="1059"/>
      <c r="I50" s="1059"/>
      <c r="J50" s="1059"/>
      <c r="K50" s="1059"/>
      <c r="L50" s="1059"/>
    </row>
    <row r="51" spans="1:12" s="540" customFormat="1" x14ac:dyDescent="0.3">
      <c r="A51" s="423"/>
      <c r="B51" s="1059"/>
      <c r="C51" s="1059"/>
      <c r="D51" s="1059"/>
      <c r="E51" s="1059"/>
      <c r="F51" s="1059"/>
      <c r="G51" s="1059"/>
      <c r="H51" s="1059"/>
      <c r="I51" s="1059"/>
      <c r="J51" s="1059"/>
      <c r="K51" s="1059"/>
      <c r="L51" s="1059"/>
    </row>
    <row r="52" spans="1:12" s="540" customFormat="1" x14ac:dyDescent="0.3">
      <c r="A52" s="423"/>
      <c r="B52" s="1059"/>
      <c r="C52" s="1059"/>
      <c r="D52" s="1059"/>
      <c r="E52" s="1059"/>
      <c r="F52" s="1059"/>
      <c r="G52" s="1059"/>
      <c r="H52" s="1059"/>
      <c r="I52" s="1059"/>
      <c r="J52" s="1059"/>
      <c r="K52" s="1059"/>
      <c r="L52" s="1059"/>
    </row>
    <row r="53" spans="1:12" s="540" customFormat="1" x14ac:dyDescent="0.3">
      <c r="A53" s="3"/>
      <c r="B53" s="1073" t="str">
        <f ca="1">Projektauftrag!B54</f>
        <v>Date</v>
      </c>
      <c r="C53" s="1073"/>
      <c r="D53" s="1073"/>
      <c r="E53" s="1074">
        <f ca="1">L3</f>
        <v>46799</v>
      </c>
      <c r="F53" s="1074"/>
      <c r="G53" s="1075"/>
      <c r="H53" s="1075"/>
      <c r="I53" s="1075"/>
      <c r="J53" s="1075"/>
      <c r="K53" s="697"/>
      <c r="L53" s="697"/>
    </row>
    <row r="54" spans="1:12" s="540" customFormat="1" ht="23.25" customHeight="1" x14ac:dyDescent="0.3">
      <c r="A54" s="423"/>
      <c r="B54" s="1071" t="str">
        <f ca="1">Projektauftrag!B55</f>
        <v>Signature mandant</v>
      </c>
      <c r="C54" s="1071"/>
      <c r="D54" s="1071"/>
      <c r="E54" s="1076"/>
      <c r="F54" s="1076"/>
      <c r="G54" s="1076"/>
      <c r="H54" s="1076"/>
      <c r="I54" s="1076"/>
      <c r="J54" s="1076"/>
      <c r="K54" s="698"/>
      <c r="L54" s="114"/>
    </row>
    <row r="55" spans="1:12" s="540" customFormat="1" ht="30" customHeight="1" x14ac:dyDescent="0.3">
      <c r="A55" s="423"/>
      <c r="B55" s="1071" t="str">
        <f ca="1">Projektauftrag!B56</f>
        <v>Signature chef de projet</v>
      </c>
      <c r="C55" s="1071"/>
      <c r="D55" s="1071"/>
      <c r="E55" s="1072"/>
      <c r="F55" s="1072"/>
      <c r="G55" s="1072"/>
      <c r="H55" s="1072"/>
      <c r="I55" s="1072"/>
      <c r="J55" s="1072"/>
      <c r="K55" s="698"/>
      <c r="L55" s="698"/>
    </row>
    <row r="56" spans="1:12" s="540" customFormat="1" x14ac:dyDescent="0.3">
      <c r="A56" s="423"/>
      <c r="B56" s="520" t="s">
        <v>1705</v>
      </c>
      <c r="C56" s="73"/>
    </row>
  </sheetData>
  <sheetProtection sheet="1" objects="1" scenarios="1" formatCells="0" formatColumns="0" formatRows="0" insertHyperlinks="0" selectLockedCells="1" sort="0" autoFilter="0"/>
  <mergeCells count="47">
    <mergeCell ref="B55:D55"/>
    <mergeCell ref="E55:J55"/>
    <mergeCell ref="B40:L40"/>
    <mergeCell ref="B53:D53"/>
    <mergeCell ref="E53:J53"/>
    <mergeCell ref="B54:D54"/>
    <mergeCell ref="E54:J54"/>
    <mergeCell ref="B41:L41"/>
    <mergeCell ref="B42:L42"/>
    <mergeCell ref="B43:L43"/>
    <mergeCell ref="B44:L44"/>
    <mergeCell ref="B45:L45"/>
    <mergeCell ref="B46:L46"/>
    <mergeCell ref="B48:L48"/>
    <mergeCell ref="B49:L49"/>
    <mergeCell ref="B50:L50"/>
    <mergeCell ref="B3:C3"/>
    <mergeCell ref="J3:K3"/>
    <mergeCell ref="E3:G3"/>
    <mergeCell ref="H3:I3"/>
    <mergeCell ref="B18:L23"/>
    <mergeCell ref="B5:C5"/>
    <mergeCell ref="E5:G5"/>
    <mergeCell ref="H5:I5"/>
    <mergeCell ref="J5:K5"/>
    <mergeCell ref="B6:C6"/>
    <mergeCell ref="D6:L6"/>
    <mergeCell ref="B8:D8"/>
    <mergeCell ref="E8:G8"/>
    <mergeCell ref="B10:L15"/>
    <mergeCell ref="B16:D16"/>
    <mergeCell ref="E16:G16"/>
    <mergeCell ref="B51:L51"/>
    <mergeCell ref="B52:L52"/>
    <mergeCell ref="B4:C4"/>
    <mergeCell ref="E4:G4"/>
    <mergeCell ref="H4:I4"/>
    <mergeCell ref="J4:K4"/>
    <mergeCell ref="B24:D24"/>
    <mergeCell ref="E24:G24"/>
    <mergeCell ref="H28:I28"/>
    <mergeCell ref="B35:L39"/>
    <mergeCell ref="H26:I26"/>
    <mergeCell ref="H30:I30"/>
    <mergeCell ref="H25:I25"/>
    <mergeCell ref="H32:I32"/>
    <mergeCell ref="B47:L47"/>
  </mergeCells>
  <conditionalFormatting sqref="H8">
    <cfRule type="iconSet" priority="28">
      <iconSet iconSet="3Symbols2" showValue="0" reverse="1">
        <cfvo type="percent" val="0"/>
        <cfvo type="num" val="1.25"/>
        <cfvo type="num" val="2.25"/>
      </iconSet>
    </cfRule>
  </conditionalFormatting>
  <conditionalFormatting sqref="H16">
    <cfRule type="iconSet" priority="18">
      <iconSet iconSet="3Symbols2" showValue="0" reverse="1">
        <cfvo type="percent" val="0"/>
        <cfvo type="num" val="1.25"/>
        <cfvo type="num" val="2.25"/>
      </iconSet>
    </cfRule>
  </conditionalFormatting>
  <conditionalFormatting sqref="H24">
    <cfRule type="iconSet" priority="17">
      <iconSet iconSet="3Symbols2" showValue="0" reverse="1">
        <cfvo type="percent" val="0"/>
        <cfvo type="num" val="1.25"/>
        <cfvo type="num" val="2.25"/>
      </iconSet>
    </cfRule>
  </conditionalFormatting>
  <conditionalFormatting sqref="L26 L28 L30">
    <cfRule type="cellIs" dxfId="118" priority="7" operator="lessThan">
      <formula>0</formula>
    </cfRule>
  </conditionalFormatting>
  <conditionalFormatting sqref="L32">
    <cfRule type="cellIs" dxfId="117" priority="2" operator="lessThan">
      <formula>0</formula>
    </cfRule>
  </conditionalFormatting>
  <dataValidations count="2">
    <dataValidation type="list" allowBlank="1" showInputMessage="1" showErrorMessage="1" sqref="H8 H16 H24" xr:uid="{00000000-0002-0000-0900-000000000000}">
      <formula1>"1,2,3"</formula1>
    </dataValidation>
    <dataValidation type="date" errorStyle="warning" operator="greaterThanOrEqual" allowBlank="1" showInputMessage="1" showErrorMessage="1" errorTitle="Falsches Datum - Fausse date!" sqref="H5:I5" xr:uid="{00000000-0002-0000-0900-000001000000}">
      <formula1>TODAY()</formula1>
    </dataValidation>
  </dataValidations>
  <pageMargins left="0.19685039370078741" right="0.19685039370078741" top="0.31496062992125984" bottom="0.23622047244094491" header="0" footer="0.19685039370078741"/>
  <pageSetup paperSize="9" scale="89" orientation="portrait" r:id="rId1"/>
  <headerFooter scaleWithDoc="0">
    <oddFooter>&amp;L&amp;8&amp;K01+049(c) s. imboden&amp;C&amp;8&amp;K01+049printed &amp;D&amp;R&amp;8&amp;K03+000&amp;P/&amp;N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56A477A5-C947-4410-B67E-BD6D64D1B508}">
            <x14:iconSet showValue="0" custom="1">
              <x14:cfvo type="percent">
                <xm:f>0</xm:f>
              </x14:cfvo>
              <x14:cfvo type="num" gte="0">
                <xm:f>90</xm:f>
              </x14:cfvo>
              <x14:cfvo type="num" gte="0">
                <xm:f>100</xm:f>
              </x14:cfvo>
              <x14:cfIcon iconSet="3Symbols" iconId="2"/>
              <x14:cfIcon iconSet="3Symbols" iconId="1"/>
              <x14:cfIcon iconSet="3Symbols" iconId="0"/>
            </x14:iconSet>
          </x14:cfRule>
          <xm:sqref>K26 K28 K30</xm:sqref>
        </x14:conditionalFormatting>
        <x14:conditionalFormatting xmlns:xm="http://schemas.microsoft.com/office/excel/2006/main">
          <x14:cfRule type="expression" priority="4" id="{A5E58E67-7168-4705-A704-0EB56CD1C547}">
            <xm:f>AND(Projektauftrag!$G$4="")</xm:f>
            <x14:dxf>
              <fill>
                <patternFill>
                  <bgColor rgb="FFFF0000"/>
                </patternFill>
              </fill>
            </x14:dxf>
          </x14:cfRule>
          <xm:sqref>H3:I3</xm:sqref>
        </x14:conditionalFormatting>
        <x14:conditionalFormatting xmlns:xm="http://schemas.microsoft.com/office/excel/2006/main">
          <x14:cfRule type="expression" priority="3" id="{EC9D57F3-7A68-42B7-9ACD-C256CBB9DA1C}">
            <xm:f>AND(Projektauftrag!$J$4="")</xm:f>
            <x14:dxf>
              <fill>
                <patternFill>
                  <bgColor rgb="FFFF0000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iconSet" priority="1" id="{4F2EFD2D-D389-406D-A29B-5C0BCAA10109}">
            <x14:iconSet showValue="0" custom="1">
              <x14:cfvo type="percent">
                <xm:f>0</xm:f>
              </x14:cfvo>
              <x14:cfvo type="num">
                <xm:f>80</xm:f>
              </x14:cfvo>
              <x14:cfvo type="num">
                <xm:f>100</xm:f>
              </x14:cfvo>
              <x14:cfIcon iconSet="3Symbols" iconId="2"/>
              <x14:cfIcon iconSet="3Symbols" iconId="1"/>
              <x14:cfIcon iconSet="3Symbols" iconId="0"/>
            </x14:iconSet>
          </x14:cfRule>
          <xm:sqref>K32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>
    <tabColor theme="3" tint="0.59999389629810485"/>
  </sheetPr>
  <dimension ref="A1:F71"/>
  <sheetViews>
    <sheetView showGridLines="0" showRowColHeaders="0" zoomScaleNormal="100" workbookViewId="0">
      <pane ySplit="1" topLeftCell="A8" activePane="bottomLeft" state="frozen"/>
      <selection pane="bottomLeft" activeCell="C30" sqref="C30:F30"/>
    </sheetView>
  </sheetViews>
  <sheetFormatPr baseColWidth="10" defaultColWidth="11.44140625" defaultRowHeight="14.4" x14ac:dyDescent="0.3"/>
  <cols>
    <col min="1" max="1" width="0.109375" style="1" customWidth="1"/>
    <col min="2" max="2" width="6.44140625" style="62" customWidth="1"/>
    <col min="3" max="3" width="4.44140625" style="62" customWidth="1"/>
    <col min="4" max="4" width="49.44140625" style="62" customWidth="1"/>
    <col min="5" max="5" width="51.44140625" style="62" customWidth="1"/>
    <col min="6" max="6" width="4" style="62" customWidth="1"/>
    <col min="7" max="16384" width="11.44140625" style="62"/>
  </cols>
  <sheetData>
    <row r="1" spans="3:6" s="1" customFormat="1" ht="43.5" customHeight="1" x14ac:dyDescent="0.55000000000000004">
      <c r="C1" s="703" t="str">
        <f ca="1">' '!A533</f>
        <v>I N D I C A T E U R S</v>
      </c>
      <c r="D1" s="353"/>
      <c r="E1" s="353"/>
      <c r="F1" s="392"/>
    </row>
    <row r="2" spans="3:6" ht="15.6" x14ac:dyDescent="0.3">
      <c r="C2" s="401"/>
      <c r="D2" s="704"/>
    </row>
    <row r="3" spans="3:6" ht="3.9" customHeight="1" x14ac:dyDescent="0.3"/>
    <row r="4" spans="3:6" ht="6.6" customHeight="1" x14ac:dyDescent="0.3">
      <c r="D4" s="705"/>
    </row>
    <row r="5" spans="3:6" ht="33.6" customHeight="1" x14ac:dyDescent="0.3">
      <c r="C5" s="706" t="s">
        <v>1673</v>
      </c>
      <c r="D5" s="1078" t="str">
        <f>IF(Projektauftrag!B16&lt;&gt;"",Projektauftrag!B16,"")</f>
        <v>Objectif 1</v>
      </c>
      <c r="E5" s="1078"/>
      <c r="F5" s="1078"/>
    </row>
    <row r="6" spans="3:6" ht="4.5" customHeight="1" x14ac:dyDescent="0.3"/>
    <row r="7" spans="3:6" x14ac:dyDescent="0.3">
      <c r="C7" s="707"/>
      <c r="D7" s="707" t="str">
        <f ca="1">' '!$A$535</f>
        <v>Description/Remarques</v>
      </c>
      <c r="E7" s="707"/>
      <c r="F7" s="707"/>
    </row>
    <row r="8" spans="3:6" ht="51" customHeight="1" x14ac:dyDescent="0.3">
      <c r="C8" s="1079"/>
      <c r="D8" s="1079"/>
      <c r="E8" s="1079"/>
      <c r="F8" s="1079"/>
    </row>
    <row r="9" spans="3:6" x14ac:dyDescent="0.3">
      <c r="C9" s="707"/>
      <c r="D9" s="707" t="str">
        <f ca="1">' '!$A$534</f>
        <v>Calcul</v>
      </c>
      <c r="E9" s="707"/>
      <c r="F9" s="707"/>
    </row>
    <row r="10" spans="3:6" ht="57.9" customHeight="1" x14ac:dyDescent="0.3">
      <c r="C10" s="1079"/>
      <c r="D10" s="1079"/>
      <c r="E10" s="1079"/>
      <c r="F10" s="1079"/>
    </row>
    <row r="11" spans="3:6" x14ac:dyDescent="0.3">
      <c r="C11" s="707"/>
      <c r="D11" s="708" t="str">
        <f ca="1">' '!$A$536</f>
        <v>Source</v>
      </c>
      <c r="E11" s="707" t="str">
        <f ca="1">' '!$A$537</f>
        <v>Moment de l'enquête</v>
      </c>
      <c r="F11" s="707"/>
    </row>
    <row r="12" spans="3:6" x14ac:dyDescent="0.3">
      <c r="C12" s="1080"/>
      <c r="D12" s="1081"/>
      <c r="E12" s="1080"/>
      <c r="F12" s="1080"/>
    </row>
    <row r="13" spans="3:6" x14ac:dyDescent="0.3">
      <c r="C13" s="1080"/>
      <c r="D13" s="1081"/>
      <c r="E13" s="1080"/>
      <c r="F13" s="1080"/>
    </row>
    <row r="14" spans="3:6" x14ac:dyDescent="0.3">
      <c r="C14" s="1080"/>
      <c r="D14" s="1081"/>
      <c r="E14" s="1080"/>
      <c r="F14" s="1080"/>
    </row>
    <row r="15" spans="3:6" ht="8.4" customHeight="1" x14ac:dyDescent="0.3">
      <c r="D15" s="705"/>
    </row>
    <row r="16" spans="3:6" ht="33.6" customHeight="1" x14ac:dyDescent="0.3">
      <c r="C16" s="706" t="s">
        <v>1674</v>
      </c>
      <c r="D16" s="1078" t="str">
        <f>IF(Projektauftrag!B17&lt;&gt;"",Projektauftrag!B17,"")</f>
        <v>Objectif 2</v>
      </c>
      <c r="E16" s="1078"/>
      <c r="F16" s="1078"/>
    </row>
    <row r="18" spans="3:6" x14ac:dyDescent="0.3">
      <c r="C18" s="707"/>
      <c r="D18" s="707" t="str">
        <f ca="1">' '!$A$535</f>
        <v>Description/Remarques</v>
      </c>
      <c r="E18" s="707"/>
      <c r="F18" s="707"/>
    </row>
    <row r="19" spans="3:6" ht="51" customHeight="1" x14ac:dyDescent="0.3">
      <c r="C19" s="1079"/>
      <c r="D19" s="1079"/>
      <c r="E19" s="1079"/>
      <c r="F19" s="1079"/>
    </row>
    <row r="20" spans="3:6" x14ac:dyDescent="0.3">
      <c r="C20" s="707"/>
      <c r="D20" s="707" t="str">
        <f ca="1">' '!$A$534</f>
        <v>Calcul</v>
      </c>
      <c r="E20" s="707"/>
      <c r="F20" s="707"/>
    </row>
    <row r="21" spans="3:6" ht="57.9" customHeight="1" x14ac:dyDescent="0.3">
      <c r="C21" s="1079"/>
      <c r="D21" s="1079"/>
      <c r="E21" s="1079"/>
      <c r="F21" s="1079"/>
    </row>
    <row r="22" spans="3:6" x14ac:dyDescent="0.3">
      <c r="C22" s="707"/>
      <c r="D22" s="708" t="str">
        <f ca="1">' '!$A$536</f>
        <v>Source</v>
      </c>
      <c r="E22" s="707" t="str">
        <f ca="1">' '!$A$537</f>
        <v>Moment de l'enquête</v>
      </c>
      <c r="F22" s="707"/>
    </row>
    <row r="23" spans="3:6" x14ac:dyDescent="0.3">
      <c r="C23" s="1080"/>
      <c r="D23" s="1081"/>
      <c r="E23" s="1080"/>
      <c r="F23" s="1080"/>
    </row>
    <row r="24" spans="3:6" x14ac:dyDescent="0.3">
      <c r="C24" s="1080"/>
      <c r="D24" s="1081"/>
      <c r="E24" s="1080"/>
      <c r="F24" s="1080"/>
    </row>
    <row r="25" spans="3:6" x14ac:dyDescent="0.3">
      <c r="C25" s="1080"/>
      <c r="D25" s="1081"/>
      <c r="E25" s="1080"/>
      <c r="F25" s="1080"/>
    </row>
    <row r="26" spans="3:6" ht="8.4" customHeight="1" x14ac:dyDescent="0.3">
      <c r="D26" s="705"/>
    </row>
    <row r="27" spans="3:6" ht="33.6" customHeight="1" x14ac:dyDescent="0.3">
      <c r="C27" s="706" t="s">
        <v>1675</v>
      </c>
      <c r="D27" s="1078" t="str">
        <f>IF(Projektauftrag!B18&lt;&gt;"",Projektauftrag!B18,"")</f>
        <v/>
      </c>
      <c r="E27" s="1078"/>
      <c r="F27" s="1078"/>
    </row>
    <row r="28" spans="3:6" ht="4.5" customHeight="1" x14ac:dyDescent="0.3"/>
    <row r="29" spans="3:6" x14ac:dyDescent="0.3">
      <c r="C29" s="707"/>
      <c r="D29" s="707" t="str">
        <f ca="1">' '!$A$535</f>
        <v>Description/Remarques</v>
      </c>
      <c r="E29" s="707"/>
      <c r="F29" s="707"/>
    </row>
    <row r="30" spans="3:6" ht="51" customHeight="1" x14ac:dyDescent="0.3">
      <c r="C30" s="1079"/>
      <c r="D30" s="1079"/>
      <c r="E30" s="1079"/>
      <c r="F30" s="1079"/>
    </row>
    <row r="31" spans="3:6" x14ac:dyDescent="0.3">
      <c r="C31" s="707"/>
      <c r="D31" s="707" t="str">
        <f ca="1">' '!$A$534</f>
        <v>Calcul</v>
      </c>
      <c r="E31" s="707"/>
      <c r="F31" s="707"/>
    </row>
    <row r="32" spans="3:6" ht="57.9" customHeight="1" x14ac:dyDescent="0.3">
      <c r="C32" s="1079"/>
      <c r="D32" s="1079"/>
      <c r="E32" s="1079"/>
      <c r="F32" s="1079"/>
    </row>
    <row r="33" spans="3:6" x14ac:dyDescent="0.3">
      <c r="C33" s="707"/>
      <c r="D33" s="708" t="str">
        <f ca="1">' '!$A$536</f>
        <v>Source</v>
      </c>
      <c r="E33" s="707" t="str">
        <f ca="1">' '!$A$537</f>
        <v>Moment de l'enquête</v>
      </c>
      <c r="F33" s="707"/>
    </row>
    <row r="34" spans="3:6" x14ac:dyDescent="0.3">
      <c r="C34" s="1080"/>
      <c r="D34" s="1081"/>
      <c r="E34" s="1080"/>
      <c r="F34" s="1080"/>
    </row>
    <row r="35" spans="3:6" x14ac:dyDescent="0.3">
      <c r="C35" s="1080"/>
      <c r="D35" s="1081"/>
      <c r="E35" s="1080"/>
      <c r="F35" s="1080"/>
    </row>
    <row r="36" spans="3:6" x14ac:dyDescent="0.3">
      <c r="C36" s="1080"/>
      <c r="D36" s="1081"/>
      <c r="E36" s="1080"/>
      <c r="F36" s="1080"/>
    </row>
    <row r="37" spans="3:6" ht="8.4" customHeight="1" x14ac:dyDescent="0.3">
      <c r="D37" s="705"/>
    </row>
    <row r="38" spans="3:6" ht="33.6" customHeight="1" x14ac:dyDescent="0.3">
      <c r="C38" s="706" t="s">
        <v>1676</v>
      </c>
      <c r="D38" s="1078" t="str">
        <f>IF(Projektauftrag!B19&lt;&gt;"",Projektauftrag!B19,"")</f>
        <v/>
      </c>
      <c r="E38" s="1078"/>
      <c r="F38" s="1078"/>
    </row>
    <row r="39" spans="3:6" ht="4.5" customHeight="1" x14ac:dyDescent="0.3"/>
    <row r="40" spans="3:6" x14ac:dyDescent="0.3">
      <c r="C40" s="707"/>
      <c r="D40" s="707" t="str">
        <f ca="1">' '!$A$535</f>
        <v>Description/Remarques</v>
      </c>
      <c r="E40" s="707"/>
      <c r="F40" s="707"/>
    </row>
    <row r="41" spans="3:6" ht="51" customHeight="1" x14ac:dyDescent="0.3">
      <c r="C41" s="1079"/>
      <c r="D41" s="1079"/>
      <c r="E41" s="1079"/>
      <c r="F41" s="1079"/>
    </row>
    <row r="42" spans="3:6" x14ac:dyDescent="0.3">
      <c r="C42" s="707"/>
      <c r="D42" s="707" t="str">
        <f ca="1">' '!$A$534</f>
        <v>Calcul</v>
      </c>
      <c r="E42" s="707"/>
      <c r="F42" s="707"/>
    </row>
    <row r="43" spans="3:6" ht="57.9" customHeight="1" x14ac:dyDescent="0.3">
      <c r="C43" s="1079"/>
      <c r="D43" s="1079"/>
      <c r="E43" s="1079"/>
      <c r="F43" s="1079"/>
    </row>
    <row r="44" spans="3:6" x14ac:dyDescent="0.3">
      <c r="C44" s="707"/>
      <c r="D44" s="708" t="str">
        <f ca="1">' '!$A$536</f>
        <v>Source</v>
      </c>
      <c r="E44" s="707" t="str">
        <f ca="1">' '!$A$537</f>
        <v>Moment de l'enquête</v>
      </c>
      <c r="F44" s="707"/>
    </row>
    <row r="45" spans="3:6" x14ac:dyDescent="0.3">
      <c r="C45" s="1080"/>
      <c r="D45" s="1081"/>
      <c r="E45" s="1080"/>
      <c r="F45" s="1080"/>
    </row>
    <row r="46" spans="3:6" x14ac:dyDescent="0.3">
      <c r="C46" s="1080"/>
      <c r="D46" s="1081"/>
      <c r="E46" s="1080"/>
      <c r="F46" s="1080"/>
    </row>
    <row r="47" spans="3:6" x14ac:dyDescent="0.3">
      <c r="C47" s="1080"/>
      <c r="D47" s="1081"/>
      <c r="E47" s="1080"/>
      <c r="F47" s="1080"/>
    </row>
    <row r="49" spans="3:6" ht="33.6" customHeight="1" x14ac:dyDescent="0.3">
      <c r="C49" s="706" t="s">
        <v>1677</v>
      </c>
      <c r="D49" s="1078" t="str">
        <f>IF(Projektauftrag!B20&lt;&gt;"",Projektauftrag!B20,"")</f>
        <v/>
      </c>
      <c r="E49" s="1078"/>
      <c r="F49" s="1078"/>
    </row>
    <row r="50" spans="3:6" ht="4.5" customHeight="1" x14ac:dyDescent="0.3"/>
    <row r="51" spans="3:6" x14ac:dyDescent="0.3">
      <c r="C51" s="707"/>
      <c r="D51" s="707" t="str">
        <f ca="1">' '!$A$535</f>
        <v>Description/Remarques</v>
      </c>
      <c r="E51" s="707"/>
      <c r="F51" s="707"/>
    </row>
    <row r="52" spans="3:6" ht="51" customHeight="1" x14ac:dyDescent="0.3">
      <c r="C52" s="1079"/>
      <c r="D52" s="1079"/>
      <c r="E52" s="1079"/>
      <c r="F52" s="1079"/>
    </row>
    <row r="53" spans="3:6" x14ac:dyDescent="0.3">
      <c r="C53" s="707"/>
      <c r="D53" s="707" t="str">
        <f ca="1">' '!$A$534</f>
        <v>Calcul</v>
      </c>
      <c r="E53" s="707"/>
      <c r="F53" s="707"/>
    </row>
    <row r="54" spans="3:6" ht="57.9" customHeight="1" x14ac:dyDescent="0.3">
      <c r="C54" s="1079"/>
      <c r="D54" s="1079"/>
      <c r="E54" s="1079"/>
      <c r="F54" s="1079"/>
    </row>
    <row r="55" spans="3:6" x14ac:dyDescent="0.3">
      <c r="C55" s="707"/>
      <c r="D55" s="708" t="str">
        <f ca="1">' '!$A$536</f>
        <v>Source</v>
      </c>
      <c r="E55" s="707" t="str">
        <f ca="1">' '!$A$537</f>
        <v>Moment de l'enquête</v>
      </c>
      <c r="F55" s="707"/>
    </row>
    <row r="56" spans="3:6" x14ac:dyDescent="0.3">
      <c r="C56" s="1080"/>
      <c r="D56" s="1081"/>
      <c r="E56" s="1080"/>
      <c r="F56" s="1080"/>
    </row>
    <row r="57" spans="3:6" x14ac:dyDescent="0.3">
      <c r="C57" s="1080"/>
      <c r="D57" s="1081"/>
      <c r="E57" s="1080"/>
      <c r="F57" s="1080"/>
    </row>
    <row r="58" spans="3:6" x14ac:dyDescent="0.3">
      <c r="C58" s="1080"/>
      <c r="D58" s="1081"/>
      <c r="E58" s="1080"/>
      <c r="F58" s="1080"/>
    </row>
    <row r="59" spans="3:6" ht="8.4" customHeight="1" x14ac:dyDescent="0.3">
      <c r="D59" s="705"/>
    </row>
    <row r="60" spans="3:6" ht="33.6" customHeight="1" x14ac:dyDescent="0.3">
      <c r="C60" s="706" t="s">
        <v>1678</v>
      </c>
      <c r="D60" s="1078" t="str">
        <f>IF(Projektauftrag!B21&lt;&gt;"",Projektauftrag!B21,"")</f>
        <v/>
      </c>
      <c r="E60" s="1078"/>
      <c r="F60" s="1078"/>
    </row>
    <row r="61" spans="3:6" ht="4.5" customHeight="1" x14ac:dyDescent="0.3"/>
    <row r="62" spans="3:6" x14ac:dyDescent="0.3">
      <c r="C62" s="707"/>
      <c r="D62" s="707" t="str">
        <f ca="1">' '!$A$535</f>
        <v>Description/Remarques</v>
      </c>
      <c r="E62" s="707"/>
      <c r="F62" s="707"/>
    </row>
    <row r="63" spans="3:6" ht="51" customHeight="1" x14ac:dyDescent="0.3">
      <c r="C63" s="1079"/>
      <c r="D63" s="1079"/>
      <c r="E63" s="1079"/>
      <c r="F63" s="1079"/>
    </row>
    <row r="64" spans="3:6" x14ac:dyDescent="0.3">
      <c r="C64" s="707"/>
      <c r="D64" s="707" t="str">
        <f ca="1">' '!$A$534</f>
        <v>Calcul</v>
      </c>
      <c r="E64" s="707"/>
      <c r="F64" s="707"/>
    </row>
    <row r="65" spans="3:6" ht="57.9" customHeight="1" x14ac:dyDescent="0.3">
      <c r="C65" s="1079"/>
      <c r="D65" s="1079"/>
      <c r="E65" s="1079"/>
      <c r="F65" s="1079"/>
    </row>
    <row r="66" spans="3:6" x14ac:dyDescent="0.3">
      <c r="C66" s="707"/>
      <c r="D66" s="708" t="str">
        <f ca="1">' '!$A$536</f>
        <v>Source</v>
      </c>
      <c r="E66" s="707" t="str">
        <f ca="1">' '!$A$537</f>
        <v>Moment de l'enquête</v>
      </c>
      <c r="F66" s="707"/>
    </row>
    <row r="67" spans="3:6" x14ac:dyDescent="0.3">
      <c r="C67" s="1080"/>
      <c r="D67" s="1081"/>
      <c r="E67" s="1080"/>
      <c r="F67" s="1080"/>
    </row>
    <row r="68" spans="3:6" x14ac:dyDescent="0.3">
      <c r="C68" s="1080"/>
      <c r="D68" s="1081"/>
      <c r="E68" s="1080"/>
      <c r="F68" s="1080"/>
    </row>
    <row r="69" spans="3:6" x14ac:dyDescent="0.3">
      <c r="C69" s="1080"/>
      <c r="D69" s="1081"/>
      <c r="E69" s="1080"/>
      <c r="F69" s="1080"/>
    </row>
    <row r="70" spans="3:6" ht="8.4" customHeight="1" x14ac:dyDescent="0.3">
      <c r="C70" s="709"/>
      <c r="D70" s="710"/>
      <c r="E70" s="709"/>
      <c r="F70" s="709"/>
    </row>
    <row r="71" spans="3:6" x14ac:dyDescent="0.3">
      <c r="C71" s="520" t="s">
        <v>1705</v>
      </c>
    </row>
  </sheetData>
  <sheetProtection sheet="1" objects="1" scenarios="1" formatCells="0" formatColumns="0" formatRows="0" insertHyperlinks="0" sort="0" autoFilter="0"/>
  <mergeCells count="30">
    <mergeCell ref="C56:D58"/>
    <mergeCell ref="E56:F58"/>
    <mergeCell ref="C63:F63"/>
    <mergeCell ref="C65:F65"/>
    <mergeCell ref="C67:D69"/>
    <mergeCell ref="E67:F69"/>
    <mergeCell ref="D60:F60"/>
    <mergeCell ref="C54:F54"/>
    <mergeCell ref="C23:D25"/>
    <mergeCell ref="E23:F25"/>
    <mergeCell ref="C30:F30"/>
    <mergeCell ref="C32:F32"/>
    <mergeCell ref="C34:D36"/>
    <mergeCell ref="E34:F36"/>
    <mergeCell ref="C41:F41"/>
    <mergeCell ref="C43:F43"/>
    <mergeCell ref="C45:D47"/>
    <mergeCell ref="E45:F47"/>
    <mergeCell ref="C52:F52"/>
    <mergeCell ref="D5:F5"/>
    <mergeCell ref="D16:F16"/>
    <mergeCell ref="D27:F27"/>
    <mergeCell ref="D38:F38"/>
    <mergeCell ref="D49:F49"/>
    <mergeCell ref="C21:F21"/>
    <mergeCell ref="C8:F8"/>
    <mergeCell ref="C10:F10"/>
    <mergeCell ref="C12:D14"/>
    <mergeCell ref="E12:F14"/>
    <mergeCell ref="C19:F19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Tabelle8">
    <tabColor theme="4" tint="0.79998168889431442"/>
  </sheetPr>
  <dimension ref="A1:P77"/>
  <sheetViews>
    <sheetView showGridLines="0" showRowColHeaders="0" zoomScaleNormal="100" workbookViewId="0">
      <pane ySplit="4" topLeftCell="A6" activePane="bottomLeft" state="frozen"/>
      <selection activeCell="C28" sqref="C28"/>
      <selection pane="bottomLeft" activeCell="N9" sqref="N9"/>
    </sheetView>
  </sheetViews>
  <sheetFormatPr baseColWidth="10" defaultColWidth="12.5546875" defaultRowHeight="14.4" x14ac:dyDescent="0.3"/>
  <cols>
    <col min="1" max="1" width="7" style="73" customWidth="1"/>
    <col min="2" max="2" width="4.5546875" style="717" customWidth="1"/>
    <col min="3" max="3" width="29" style="717" customWidth="1"/>
    <col min="4" max="4" width="10.88671875" style="717" customWidth="1"/>
    <col min="5" max="5" width="11.88671875" style="717" bestFit="1" customWidth="1"/>
    <col min="6" max="6" width="31.88671875" style="717" customWidth="1"/>
    <col min="7" max="7" width="11.109375" style="717" customWidth="1"/>
    <col min="8" max="8" width="24" style="717" customWidth="1"/>
    <col min="9" max="9" width="26" style="717" customWidth="1"/>
    <col min="10" max="10" width="7" style="717" customWidth="1"/>
    <col min="11" max="11" width="0.109375" style="718" customWidth="1"/>
    <col min="12" max="25" width="4" style="717" customWidth="1"/>
    <col min="26" max="16384" width="12.5546875" style="717"/>
  </cols>
  <sheetData>
    <row r="1" spans="1:16" s="70" customFormat="1" ht="42" customHeight="1" x14ac:dyDescent="0.6">
      <c r="A1" s="711"/>
      <c r="B1" s="712" t="str">
        <f ca="1">' '!A459</f>
        <v>P A R T I E S   P R E N A N T E S</v>
      </c>
      <c r="C1" s="713"/>
      <c r="D1" s="713"/>
      <c r="E1" s="713"/>
      <c r="F1" s="713"/>
      <c r="G1" s="713"/>
      <c r="H1" s="713"/>
      <c r="I1" s="713"/>
      <c r="J1" s="392"/>
      <c r="K1" s="714"/>
    </row>
    <row r="2" spans="1:16" s="73" customFormat="1" ht="14.25" customHeight="1" x14ac:dyDescent="0.3">
      <c r="A2" s="62"/>
      <c r="K2" s="715"/>
    </row>
    <row r="3" spans="1:16" ht="10.5" customHeight="1" x14ac:dyDescent="0.3">
      <c r="A3" s="716"/>
      <c r="C3" s="73"/>
    </row>
    <row r="4" spans="1:16" ht="33.75" customHeight="1" x14ac:dyDescent="0.3">
      <c r="B4" s="719" t="str">
        <f ca="1">' '!A473</f>
        <v>No.</v>
      </c>
      <c r="C4" s="720" t="str">
        <f ca="1">' '!A474</f>
        <v>Parties prenantes</v>
      </c>
      <c r="D4" s="721" t="str">
        <f ca="1">' '!A476</f>
        <v>Etendue de l'intérêt</v>
      </c>
      <c r="E4" s="721" t="str">
        <f ca="1">' '!A477</f>
        <v>Etendue de l'influence</v>
      </c>
      <c r="F4" s="720" t="str">
        <f ca="1">' '!A475</f>
        <v>Intérêt, attentes</v>
      </c>
      <c r="G4" s="720" t="str">
        <f ca="1">' '!A481</f>
        <v>Taille du groupe</v>
      </c>
      <c r="H4" s="720" t="str">
        <f ca="1">' '!A478</f>
        <v>Chances (+) et 
Dangers (-)</v>
      </c>
      <c r="I4" s="720" t="str">
        <f ca="1">' '!A479</f>
        <v>Mesures possibles</v>
      </c>
      <c r="J4" s="722" t="str">
        <f ca="1">' '!A480</f>
        <v>Statut</v>
      </c>
    </row>
    <row r="5" spans="1:16" s="73" customFormat="1" ht="0.15" customHeight="1" x14ac:dyDescent="0.3">
      <c r="B5" s="723"/>
      <c r="C5" s="724"/>
      <c r="D5" s="724"/>
      <c r="E5" s="724"/>
      <c r="F5" s="724"/>
      <c r="G5" s="724"/>
      <c r="H5" s="724"/>
      <c r="I5" s="724"/>
      <c r="J5" s="725"/>
      <c r="K5" s="715"/>
    </row>
    <row r="6" spans="1:16" ht="23.4" x14ac:dyDescent="0.3">
      <c r="B6" s="726" t="s">
        <v>442</v>
      </c>
      <c r="C6" s="98" t="s">
        <v>1657</v>
      </c>
      <c r="D6" s="99">
        <v>3</v>
      </c>
      <c r="E6" s="99">
        <v>7</v>
      </c>
      <c r="F6" s="98"/>
      <c r="G6" s="132">
        <v>1</v>
      </c>
      <c r="H6" s="98"/>
      <c r="I6" s="98"/>
      <c r="J6" s="1125">
        <v>1</v>
      </c>
      <c r="K6" s="727">
        <f>IF(G6=3,3,
IF(G6=2,2,1))</f>
        <v>1</v>
      </c>
      <c r="N6" s="728"/>
      <c r="O6" s="728"/>
      <c r="P6" s="729"/>
    </row>
    <row r="7" spans="1:16" ht="23.4" x14ac:dyDescent="0.3">
      <c r="B7" s="730" t="s">
        <v>444</v>
      </c>
      <c r="C7" s="100" t="s">
        <v>1394</v>
      </c>
      <c r="D7" s="101">
        <v>8</v>
      </c>
      <c r="E7" s="101">
        <v>9</v>
      </c>
      <c r="F7" s="100"/>
      <c r="G7" s="132">
        <v>2</v>
      </c>
      <c r="H7" s="102"/>
      <c r="I7" s="100"/>
      <c r="J7" s="1126">
        <v>1</v>
      </c>
      <c r="K7" s="727">
        <f t="shared" ref="K7:K25" si="0">IF(G7=3,3,
IF(G7=2,2,1))</f>
        <v>2</v>
      </c>
      <c r="N7" s="73"/>
      <c r="O7" s="73"/>
      <c r="P7" s="729"/>
    </row>
    <row r="8" spans="1:16" ht="23.4" x14ac:dyDescent="0.3">
      <c r="B8" s="730" t="s">
        <v>446</v>
      </c>
      <c r="C8" s="100" t="s">
        <v>1443</v>
      </c>
      <c r="D8" s="101">
        <v>7</v>
      </c>
      <c r="E8" s="101">
        <v>5</v>
      </c>
      <c r="F8" s="100"/>
      <c r="G8" s="132">
        <v>3</v>
      </c>
      <c r="H8" s="100"/>
      <c r="I8" s="100"/>
      <c r="J8" s="1126"/>
      <c r="K8" s="727">
        <f t="shared" si="0"/>
        <v>3</v>
      </c>
      <c r="N8" s="73"/>
      <c r="O8" s="73"/>
      <c r="P8" s="729"/>
    </row>
    <row r="9" spans="1:16" ht="23.4" x14ac:dyDescent="0.3">
      <c r="B9" s="730" t="s">
        <v>448</v>
      </c>
      <c r="C9" s="100" t="s">
        <v>1833</v>
      </c>
      <c r="D9" s="101">
        <v>1</v>
      </c>
      <c r="E9" s="101">
        <v>2</v>
      </c>
      <c r="F9" s="100"/>
      <c r="G9" s="132"/>
      <c r="H9" s="100"/>
      <c r="I9" s="100"/>
      <c r="J9" s="1126"/>
      <c r="K9" s="727">
        <f t="shared" si="0"/>
        <v>1</v>
      </c>
      <c r="N9" s="73"/>
      <c r="O9" s="73"/>
      <c r="P9" s="729"/>
    </row>
    <row r="10" spans="1:16" ht="23.4" x14ac:dyDescent="0.3">
      <c r="B10" s="730" t="s">
        <v>450</v>
      </c>
      <c r="C10" s="100"/>
      <c r="D10" s="101"/>
      <c r="E10" s="101"/>
      <c r="F10" s="100"/>
      <c r="G10" s="133"/>
      <c r="H10" s="100"/>
      <c r="I10" s="100"/>
      <c r="J10" s="1126"/>
      <c r="K10" s="727">
        <f t="shared" si="0"/>
        <v>1</v>
      </c>
      <c r="N10" s="73"/>
      <c r="O10" s="73"/>
      <c r="P10" s="729"/>
    </row>
    <row r="11" spans="1:16" ht="23.4" x14ac:dyDescent="0.3">
      <c r="B11" s="730" t="s">
        <v>452</v>
      </c>
      <c r="C11" s="100"/>
      <c r="D11" s="101"/>
      <c r="E11" s="101"/>
      <c r="F11" s="100"/>
      <c r="G11" s="133"/>
      <c r="H11" s="100"/>
      <c r="I11" s="100"/>
      <c r="J11" s="1126"/>
      <c r="K11" s="727">
        <f t="shared" si="0"/>
        <v>1</v>
      </c>
      <c r="N11" s="73"/>
      <c r="O11" s="73"/>
      <c r="P11" s="729"/>
    </row>
    <row r="12" spans="1:16" ht="23.4" x14ac:dyDescent="0.3">
      <c r="B12" s="730" t="s">
        <v>454</v>
      </c>
      <c r="C12" s="100"/>
      <c r="D12" s="101"/>
      <c r="E12" s="101"/>
      <c r="F12" s="100"/>
      <c r="G12" s="133"/>
      <c r="H12" s="100"/>
      <c r="I12" s="100"/>
      <c r="J12" s="1126"/>
      <c r="K12" s="727">
        <f t="shared" si="0"/>
        <v>1</v>
      </c>
      <c r="N12" s="73"/>
      <c r="O12" s="73"/>
      <c r="P12" s="729"/>
    </row>
    <row r="13" spans="1:16" ht="23.4" x14ac:dyDescent="0.3">
      <c r="B13" s="730" t="s">
        <v>456</v>
      </c>
      <c r="C13" s="100"/>
      <c r="D13" s="101"/>
      <c r="E13" s="101"/>
      <c r="F13" s="100"/>
      <c r="G13" s="133"/>
      <c r="H13" s="100"/>
      <c r="I13" s="100"/>
      <c r="J13" s="1126"/>
      <c r="K13" s="727">
        <f t="shared" si="0"/>
        <v>1</v>
      </c>
      <c r="N13" s="73"/>
      <c r="O13" s="73"/>
      <c r="P13" s="729"/>
    </row>
    <row r="14" spans="1:16" ht="23.4" x14ac:dyDescent="0.3">
      <c r="B14" s="730" t="s">
        <v>458</v>
      </c>
      <c r="C14" s="100"/>
      <c r="D14" s="101"/>
      <c r="E14" s="101"/>
      <c r="F14" s="100"/>
      <c r="G14" s="133"/>
      <c r="H14" s="100"/>
      <c r="I14" s="100"/>
      <c r="J14" s="1126"/>
      <c r="K14" s="727">
        <f t="shared" si="0"/>
        <v>1</v>
      </c>
      <c r="N14" s="73"/>
      <c r="O14" s="73"/>
      <c r="P14" s="729"/>
    </row>
    <row r="15" spans="1:16" ht="23.4" x14ac:dyDescent="0.3">
      <c r="B15" s="730" t="s">
        <v>460</v>
      </c>
      <c r="C15" s="100"/>
      <c r="D15" s="101"/>
      <c r="E15" s="101"/>
      <c r="F15" s="100"/>
      <c r="G15" s="133"/>
      <c r="H15" s="100"/>
      <c r="I15" s="100"/>
      <c r="J15" s="1126"/>
      <c r="K15" s="727">
        <f t="shared" si="0"/>
        <v>1</v>
      </c>
      <c r="N15" s="73"/>
      <c r="O15" s="73"/>
      <c r="P15" s="729"/>
    </row>
    <row r="16" spans="1:16" ht="23.4" x14ac:dyDescent="0.3">
      <c r="B16" s="730" t="s">
        <v>462</v>
      </c>
      <c r="C16" s="100"/>
      <c r="D16" s="101"/>
      <c r="E16" s="101"/>
      <c r="F16" s="100"/>
      <c r="G16" s="133"/>
      <c r="H16" s="100"/>
      <c r="I16" s="100"/>
      <c r="J16" s="1126"/>
      <c r="K16" s="727">
        <f t="shared" si="0"/>
        <v>1</v>
      </c>
      <c r="N16" s="73"/>
      <c r="O16" s="73"/>
      <c r="P16" s="729"/>
    </row>
    <row r="17" spans="2:11" ht="23.4" x14ac:dyDescent="0.3">
      <c r="B17" s="730" t="s">
        <v>464</v>
      </c>
      <c r="C17" s="100"/>
      <c r="D17" s="101"/>
      <c r="E17" s="101"/>
      <c r="F17" s="100"/>
      <c r="G17" s="133"/>
      <c r="H17" s="100"/>
      <c r="I17" s="100"/>
      <c r="J17" s="1126"/>
      <c r="K17" s="727">
        <f t="shared" si="0"/>
        <v>1</v>
      </c>
    </row>
    <row r="18" spans="2:11" ht="23.4" x14ac:dyDescent="0.3">
      <c r="B18" s="730" t="s">
        <v>466</v>
      </c>
      <c r="C18" s="100"/>
      <c r="D18" s="101"/>
      <c r="E18" s="101"/>
      <c r="F18" s="100"/>
      <c r="G18" s="133"/>
      <c r="H18" s="100"/>
      <c r="I18" s="100"/>
      <c r="J18" s="1126"/>
      <c r="K18" s="727">
        <f t="shared" si="0"/>
        <v>1</v>
      </c>
    </row>
    <row r="19" spans="2:11" ht="23.4" x14ac:dyDescent="0.3">
      <c r="B19" s="730" t="s">
        <v>468</v>
      </c>
      <c r="C19" s="100"/>
      <c r="D19" s="101"/>
      <c r="E19" s="101"/>
      <c r="F19" s="100"/>
      <c r="G19" s="133"/>
      <c r="H19" s="100"/>
      <c r="I19" s="100"/>
      <c r="J19" s="1126"/>
      <c r="K19" s="727">
        <f t="shared" si="0"/>
        <v>1</v>
      </c>
    </row>
    <row r="20" spans="2:11" ht="23.4" x14ac:dyDescent="0.3">
      <c r="B20" s="730" t="s">
        <v>470</v>
      </c>
      <c r="C20" s="100"/>
      <c r="D20" s="101"/>
      <c r="E20" s="101"/>
      <c r="F20" s="100"/>
      <c r="G20" s="133"/>
      <c r="H20" s="100"/>
      <c r="I20" s="100"/>
      <c r="J20" s="1126"/>
      <c r="K20" s="727">
        <f t="shared" si="0"/>
        <v>1</v>
      </c>
    </row>
    <row r="21" spans="2:11" ht="23.4" x14ac:dyDescent="0.3">
      <c r="B21" s="730" t="s">
        <v>472</v>
      </c>
      <c r="C21" s="100"/>
      <c r="D21" s="101"/>
      <c r="E21" s="101"/>
      <c r="F21" s="100"/>
      <c r="G21" s="133"/>
      <c r="H21" s="100"/>
      <c r="I21" s="100"/>
      <c r="J21" s="1126"/>
      <c r="K21" s="727">
        <f t="shared" si="0"/>
        <v>1</v>
      </c>
    </row>
    <row r="22" spans="2:11" ht="23.4" x14ac:dyDescent="0.3">
      <c r="B22" s="730" t="s">
        <v>474</v>
      </c>
      <c r="C22" s="100"/>
      <c r="D22" s="101"/>
      <c r="E22" s="101"/>
      <c r="F22" s="100"/>
      <c r="G22" s="133"/>
      <c r="H22" s="100"/>
      <c r="I22" s="100"/>
      <c r="J22" s="1126"/>
      <c r="K22" s="727">
        <f t="shared" si="0"/>
        <v>1</v>
      </c>
    </row>
    <row r="23" spans="2:11" ht="23.4" x14ac:dyDescent="0.3">
      <c r="B23" s="730" t="s">
        <v>476</v>
      </c>
      <c r="C23" s="100"/>
      <c r="D23" s="101"/>
      <c r="E23" s="101"/>
      <c r="F23" s="100"/>
      <c r="G23" s="133"/>
      <c r="H23" s="100"/>
      <c r="I23" s="100"/>
      <c r="J23" s="1126"/>
      <c r="K23" s="727">
        <f t="shared" si="0"/>
        <v>1</v>
      </c>
    </row>
    <row r="24" spans="2:11" ht="23.4" x14ac:dyDescent="0.3">
      <c r="B24" s="730" t="s">
        <v>1395</v>
      </c>
      <c r="C24" s="100"/>
      <c r="D24" s="101"/>
      <c r="E24" s="101"/>
      <c r="F24" s="100"/>
      <c r="G24" s="133"/>
      <c r="H24" s="100"/>
      <c r="I24" s="100"/>
      <c r="J24" s="1126"/>
      <c r="K24" s="727">
        <f t="shared" si="0"/>
        <v>1</v>
      </c>
    </row>
    <row r="25" spans="2:11" ht="23.4" x14ac:dyDescent="0.3">
      <c r="B25" s="731" t="s">
        <v>1396</v>
      </c>
      <c r="C25" s="100"/>
      <c r="D25" s="101"/>
      <c r="E25" s="101"/>
      <c r="F25" s="103"/>
      <c r="G25" s="134"/>
      <c r="H25" s="103"/>
      <c r="I25" s="103"/>
      <c r="J25" s="1127"/>
      <c r="K25" s="727">
        <f t="shared" si="0"/>
        <v>1</v>
      </c>
    </row>
    <row r="26" spans="2:11" x14ac:dyDescent="0.3">
      <c r="B26" s="520" t="s">
        <v>1705</v>
      </c>
      <c r="C26" s="73"/>
    </row>
    <row r="27" spans="2:11" ht="22.5" customHeight="1" x14ac:dyDescent="0.3"/>
    <row r="28" spans="2:11" ht="22.5" customHeight="1" x14ac:dyDescent="0.3"/>
    <row r="29" spans="2:11" ht="22.5" customHeight="1" x14ac:dyDescent="0.35">
      <c r="H29" s="732" t="str">
        <f>IF(C6&lt;&gt;"",(CONCATENATE("    ",B6,"   ",C6)),"")</f>
        <v xml:space="preserve">    s1   Team</v>
      </c>
      <c r="I29" s="733"/>
    </row>
    <row r="30" spans="2:11" ht="22.5" customHeight="1" x14ac:dyDescent="0.35">
      <c r="H30" s="732" t="str">
        <f t="shared" ref="H30:H48" si="1">IF(C7&lt;&gt;"",(CONCATENATE("    ",B7,"   ",C7)),"")</f>
        <v xml:space="preserve">    s2   Groupe 2</v>
      </c>
      <c r="I30" s="733"/>
    </row>
    <row r="31" spans="2:11" ht="22.5" customHeight="1" x14ac:dyDescent="0.35">
      <c r="H31" s="732" t="str">
        <f t="shared" si="1"/>
        <v xml:space="preserve">    s3   Gruppe 3</v>
      </c>
      <c r="I31" s="733"/>
    </row>
    <row r="32" spans="2:11" ht="22.5" customHeight="1" x14ac:dyDescent="0.35">
      <c r="H32" s="732" t="str">
        <f t="shared" si="1"/>
        <v xml:space="preserve">    s4   Groupe 4</v>
      </c>
      <c r="I32" s="733"/>
    </row>
    <row r="33" spans="8:9" ht="22.5" customHeight="1" x14ac:dyDescent="0.35">
      <c r="H33" s="732" t="str">
        <f t="shared" si="1"/>
        <v/>
      </c>
      <c r="I33" s="733"/>
    </row>
    <row r="34" spans="8:9" ht="22.5" customHeight="1" x14ac:dyDescent="0.35">
      <c r="H34" s="732" t="str">
        <f t="shared" si="1"/>
        <v/>
      </c>
      <c r="I34" s="733"/>
    </row>
    <row r="35" spans="8:9" ht="22.5" customHeight="1" x14ac:dyDescent="0.35">
      <c r="H35" s="732" t="str">
        <f t="shared" si="1"/>
        <v/>
      </c>
      <c r="I35" s="733"/>
    </row>
    <row r="36" spans="8:9" ht="22.5" customHeight="1" x14ac:dyDescent="0.35">
      <c r="H36" s="732" t="str">
        <f t="shared" si="1"/>
        <v/>
      </c>
      <c r="I36" s="733"/>
    </row>
    <row r="37" spans="8:9" ht="22.5" customHeight="1" x14ac:dyDescent="0.35">
      <c r="H37" s="732" t="str">
        <f t="shared" si="1"/>
        <v/>
      </c>
      <c r="I37" s="733"/>
    </row>
    <row r="38" spans="8:9" ht="22.5" customHeight="1" x14ac:dyDescent="0.35">
      <c r="H38" s="732" t="str">
        <f t="shared" si="1"/>
        <v/>
      </c>
      <c r="I38" s="733"/>
    </row>
    <row r="39" spans="8:9" ht="22.5" customHeight="1" x14ac:dyDescent="0.35">
      <c r="H39" s="732" t="str">
        <f t="shared" si="1"/>
        <v/>
      </c>
      <c r="I39" s="733"/>
    </row>
    <row r="40" spans="8:9" ht="22.5" customHeight="1" x14ac:dyDescent="0.35">
      <c r="H40" s="732" t="str">
        <f t="shared" si="1"/>
        <v/>
      </c>
      <c r="I40" s="733"/>
    </row>
    <row r="41" spans="8:9" ht="22.5" customHeight="1" x14ac:dyDescent="0.35">
      <c r="H41" s="732" t="str">
        <f t="shared" si="1"/>
        <v/>
      </c>
      <c r="I41" s="733"/>
    </row>
    <row r="42" spans="8:9" ht="22.5" customHeight="1" x14ac:dyDescent="0.35">
      <c r="H42" s="732" t="str">
        <f t="shared" si="1"/>
        <v/>
      </c>
      <c r="I42" s="733"/>
    </row>
    <row r="43" spans="8:9" ht="22.5" customHeight="1" x14ac:dyDescent="0.35">
      <c r="H43" s="732" t="str">
        <f t="shared" si="1"/>
        <v/>
      </c>
      <c r="I43" s="733"/>
    </row>
    <row r="44" spans="8:9" ht="22.5" customHeight="1" x14ac:dyDescent="0.35">
      <c r="H44" s="732" t="str">
        <f t="shared" si="1"/>
        <v/>
      </c>
      <c r="I44" s="733"/>
    </row>
    <row r="45" spans="8:9" ht="22.5" customHeight="1" x14ac:dyDescent="0.35">
      <c r="H45" s="732" t="str">
        <f t="shared" si="1"/>
        <v/>
      </c>
      <c r="I45" s="733"/>
    </row>
    <row r="46" spans="8:9" ht="22.5" customHeight="1" x14ac:dyDescent="0.35">
      <c r="H46" s="732" t="str">
        <f t="shared" si="1"/>
        <v/>
      </c>
      <c r="I46" s="733"/>
    </row>
    <row r="47" spans="8:9" ht="22.5" customHeight="1" x14ac:dyDescent="0.35">
      <c r="H47" s="732" t="str">
        <f t="shared" si="1"/>
        <v/>
      </c>
      <c r="I47" s="733"/>
    </row>
    <row r="48" spans="8:9" ht="22.5" customHeight="1" x14ac:dyDescent="0.35">
      <c r="H48" s="732" t="str">
        <f t="shared" si="1"/>
        <v/>
      </c>
      <c r="I48" s="733"/>
    </row>
    <row r="49" spans="1:3" ht="22.5" customHeight="1" x14ac:dyDescent="0.3"/>
    <row r="50" spans="1:3" ht="22.5" customHeight="1" x14ac:dyDescent="0.3"/>
    <row r="51" spans="1:3" ht="0.9" customHeight="1" x14ac:dyDescent="0.3">
      <c r="A51" s="62"/>
    </row>
    <row r="52" spans="1:3" ht="22.5" customHeight="1" x14ac:dyDescent="0.3">
      <c r="B52" s="699"/>
      <c r="C52" s="73"/>
    </row>
    <row r="53" spans="1:3" ht="22.5" customHeight="1" x14ac:dyDescent="0.3">
      <c r="B53" s="734"/>
    </row>
    <row r="54" spans="1:3" ht="22.5" customHeight="1" x14ac:dyDescent="0.3"/>
    <row r="55" spans="1:3" ht="22.5" customHeight="1" x14ac:dyDescent="0.3"/>
    <row r="56" spans="1:3" ht="22.5" customHeight="1" x14ac:dyDescent="0.3"/>
    <row r="57" spans="1:3" ht="22.5" customHeight="1" x14ac:dyDescent="0.3"/>
    <row r="58" spans="1:3" ht="22.5" customHeight="1" x14ac:dyDescent="0.3"/>
    <row r="59" spans="1:3" ht="22.5" customHeight="1" x14ac:dyDescent="0.3"/>
    <row r="60" spans="1:3" ht="22.5" customHeight="1" x14ac:dyDescent="0.3"/>
    <row r="61" spans="1:3" ht="22.5" customHeight="1" x14ac:dyDescent="0.3"/>
    <row r="62" spans="1:3" ht="22.5" customHeight="1" x14ac:dyDescent="0.3"/>
    <row r="63" spans="1:3" ht="22.5" customHeight="1" x14ac:dyDescent="0.3"/>
    <row r="64" spans="1:3" ht="22.5" customHeight="1" x14ac:dyDescent="0.3"/>
    <row r="65" spans="1:8" ht="22.5" customHeight="1" x14ac:dyDescent="0.3"/>
    <row r="66" spans="1:8" ht="22.5" customHeight="1" x14ac:dyDescent="0.3"/>
    <row r="67" spans="1:8" ht="22.5" customHeight="1" x14ac:dyDescent="0.3"/>
    <row r="68" spans="1:8" ht="22.5" customHeight="1" x14ac:dyDescent="0.3"/>
    <row r="69" spans="1:8" ht="22.5" customHeight="1" x14ac:dyDescent="0.3"/>
    <row r="70" spans="1:8" ht="22.5" customHeight="1" x14ac:dyDescent="0.3"/>
    <row r="71" spans="1:8" ht="22.5" customHeight="1" x14ac:dyDescent="0.3"/>
    <row r="72" spans="1:8" ht="22.5" customHeight="1" x14ac:dyDescent="0.3">
      <c r="H72" s="735" t="str">
        <f ca="1">' '!A487</f>
        <v>Copier flèche: ctrl et bouton gauche de la souris</v>
      </c>
    </row>
    <row r="73" spans="1:8" ht="22.5" customHeight="1" x14ac:dyDescent="0.3">
      <c r="H73" s="717" t="str">
        <f ca="1">' '!A464</f>
        <v>contacts fréquents</v>
      </c>
    </row>
    <row r="74" spans="1:8" ht="22.5" customHeight="1" x14ac:dyDescent="0.3">
      <c r="H74" s="717" t="str">
        <f ca="1">' '!A465</f>
        <v>contacts réguliers</v>
      </c>
    </row>
    <row r="75" spans="1:8" ht="22.5" customHeight="1" x14ac:dyDescent="0.3">
      <c r="H75" s="717" t="str">
        <f ca="1">' '!A466</f>
        <v>contacts rares</v>
      </c>
    </row>
    <row r="76" spans="1:8" ht="22.5" customHeight="1" x14ac:dyDescent="0.3">
      <c r="B76" s="736" t="s">
        <v>1705</v>
      </c>
    </row>
    <row r="77" spans="1:8" ht="0.9" customHeight="1" x14ac:dyDescent="0.3">
      <c r="A77" s="62"/>
    </row>
  </sheetData>
  <sheetProtection sheet="1" objects="1" scenarios="1" formatCells="0" formatColumns="0" formatRows="0" insertHyperlinks="0" selectLockedCells="1" sort="0" autoFilter="0"/>
  <conditionalFormatting sqref="D6:D25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6:E25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B6:J25">
    <cfRule type="expression" dxfId="114" priority="17853">
      <formula>MOD(ROW(A1),2)=0</formula>
    </cfRule>
    <cfRule type="expression" dxfId="113" priority="17854">
      <formula>MOD(ROW(A2),2)=0</formula>
    </cfRule>
  </conditionalFormatting>
  <dataValidations count="2">
    <dataValidation type="list" allowBlank="1" showInputMessage="1" showErrorMessage="1" sqref="D54:E97 D6:E25" xr:uid="{00000000-0002-0000-0D00-000000000000}">
      <formula1>"1,2,3,4,5,6,7,8,9,10"</formula1>
    </dataValidation>
    <dataValidation type="list" allowBlank="1" showInputMessage="1" showErrorMessage="1" sqref="J6:J25 G54:G97 J82:J97 G6:G25" xr:uid="{00000000-0002-0000-0D00-000001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scale="90" fitToWidth="2" fitToHeight="2" orientation="portrait" r:id="rId1"/>
  <headerFooter>
    <oddFooter>&amp;L&amp;8&amp;K00-048(c) S.Imboden&amp;R&amp;8&amp;K00-048Seite &amp;P von &amp;N</oddFooter>
  </headerFooter>
  <rowBreaks count="1" manualBreakCount="1">
    <brk id="26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83AAFF7B-A03A-46DE-A5EF-BE31A20D9EAB}">
            <x14:iconSet iconSet="3Stars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5Quarters" iconId="0"/>
              <x14:cfIcon iconSet="5Quarters" iconId="2"/>
              <x14:cfIcon iconSet="4RedToBlack" iconId="0"/>
            </x14:iconSet>
          </x14:cfRule>
          <xm:sqref>G6:G25</xm:sqref>
        </x14:conditionalFormatting>
        <x14:conditionalFormatting xmlns:xm="http://schemas.microsoft.com/office/excel/2006/main">
          <x14:cfRule type="iconSet" priority="3" id="{36CFF45E-9C16-42EF-AA2F-11ADAD917CB7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J6:J25</xm:sqref>
        </x14:conditionalFormatting>
        <x14:conditionalFormatting xmlns:xm="http://schemas.microsoft.com/office/excel/2006/main">
          <x14:cfRule type="iconSet" priority="7" id="{E30531E3-6768-4896-BA45-9127960BAA76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D99:D5192 D26</xm:sqref>
        </x14:conditionalFormatting>
        <x14:conditionalFormatting xmlns:xm="http://schemas.microsoft.com/office/excel/2006/main">
          <x14:cfRule type="iconSet" priority="8" id="{C85EA8DB-FC1C-4EF3-951C-4FCD884D779B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D27:D97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6">
    <tabColor theme="4" tint="0.59999389629810485"/>
  </sheetPr>
  <dimension ref="A1:Q93"/>
  <sheetViews>
    <sheetView showGridLines="0" showRowColHeaders="0" zoomScaleNormal="100" workbookViewId="0">
      <pane ySplit="4" topLeftCell="A5" activePane="bottomLeft" state="frozen"/>
      <selection activeCell="C28" sqref="C28"/>
      <selection pane="bottomLeft" activeCell="A4" sqref="A4"/>
    </sheetView>
  </sheetViews>
  <sheetFormatPr baseColWidth="10" defaultColWidth="11.44140625" defaultRowHeight="13.8" x14ac:dyDescent="0.3"/>
  <cols>
    <col min="1" max="1" width="7" style="70" customWidth="1"/>
    <col min="2" max="2" width="3.109375" style="163" hidden="1" customWidth="1"/>
    <col min="3" max="3" width="12.109375" style="77" bestFit="1" customWidth="1"/>
    <col min="4" max="4" width="50.5546875" style="76" customWidth="1"/>
    <col min="5" max="5" width="31.44140625" style="75" customWidth="1"/>
    <col min="6" max="6" width="4" style="75" customWidth="1"/>
    <col min="7" max="7" width="11.109375" style="75" customWidth="1"/>
    <col min="8" max="8" width="4.5546875" style="76" customWidth="1"/>
    <col min="9" max="9" width="26.88671875" style="70" customWidth="1"/>
    <col min="10" max="27" width="3.88671875" style="70" customWidth="1"/>
    <col min="28" max="16384" width="11.44140625" style="70"/>
  </cols>
  <sheetData>
    <row r="1" spans="1:17" s="1" customFormat="1" ht="45" customHeight="1" x14ac:dyDescent="0.6">
      <c r="A1" s="701"/>
      <c r="B1" s="353"/>
      <c r="C1" s="742" t="str">
        <f ca="1">' '!A449</f>
        <v>Aperçu des séances</v>
      </c>
      <c r="D1" s="355"/>
      <c r="E1" s="355"/>
      <c r="F1" s="626"/>
    </row>
    <row r="2" spans="1:17" s="62" customFormat="1" ht="0.9" customHeight="1" x14ac:dyDescent="0.3">
      <c r="B2" s="743"/>
      <c r="C2" s="744"/>
      <c r="D2" s="745"/>
      <c r="E2" s="74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1" customFormat="1" ht="21" customHeight="1" x14ac:dyDescent="0.3">
      <c r="B3" s="588"/>
      <c r="C3" s="746"/>
      <c r="D3" s="747"/>
      <c r="E3" s="588"/>
    </row>
    <row r="4" spans="1:17" s="159" customFormat="1" ht="21" customHeight="1" x14ac:dyDescent="0.3">
      <c r="A4" s="152">
        <f>COUNTA(#REF!)</f>
        <v>1</v>
      </c>
      <c r="B4" s="153"/>
      <c r="C4" s="154" t="str">
        <f ca="1">' '!A450</f>
        <v>Date</v>
      </c>
      <c r="D4" s="155" t="str">
        <f ca="1">' '!A452</f>
        <v>Décisions les plus importantes / Remarques</v>
      </c>
      <c r="E4" s="155" t="str">
        <f ca="1">' '!A451</f>
        <v>Liens vers les documents</v>
      </c>
      <c r="F4" s="156"/>
      <c r="G4" s="157"/>
      <c r="H4" s="158"/>
    </row>
    <row r="5" spans="1:17" ht="14.4" x14ac:dyDescent="0.3">
      <c r="A5" s="165">
        <v>1</v>
      </c>
      <c r="B5" s="71"/>
      <c r="C5" s="85"/>
      <c r="D5" s="86"/>
      <c r="E5" s="87"/>
      <c r="F5" s="88">
        <v>1</v>
      </c>
      <c r="G5" s="160"/>
      <c r="H5" s="161"/>
      <c r="M5" s="73"/>
    </row>
    <row r="6" spans="1:17" ht="14.4" x14ac:dyDescent="0.3">
      <c r="A6" s="165">
        <v>2</v>
      </c>
      <c r="B6" s="71"/>
      <c r="C6" s="89"/>
      <c r="D6" s="90"/>
      <c r="E6" s="91"/>
      <c r="F6" s="92"/>
      <c r="G6" s="160"/>
      <c r="H6" s="161"/>
      <c r="I6" s="162"/>
      <c r="M6" s="73"/>
    </row>
    <row r="7" spans="1:17" ht="14.4" x14ac:dyDescent="0.3">
      <c r="A7" s="165">
        <v>3</v>
      </c>
      <c r="B7" s="71"/>
      <c r="C7" s="85"/>
      <c r="D7" s="86"/>
      <c r="E7" s="87"/>
      <c r="F7" s="88"/>
      <c r="G7" s="160"/>
      <c r="H7" s="161"/>
      <c r="I7" s="162"/>
      <c r="M7" s="73"/>
    </row>
    <row r="8" spans="1:17" ht="14.4" x14ac:dyDescent="0.3">
      <c r="A8" s="165">
        <v>4</v>
      </c>
      <c r="B8" s="71"/>
      <c r="C8" s="89"/>
      <c r="D8" s="90"/>
      <c r="E8" s="91"/>
      <c r="F8" s="92"/>
      <c r="G8" s="160"/>
      <c r="H8" s="161"/>
      <c r="I8" s="162"/>
      <c r="M8" s="73"/>
    </row>
    <row r="9" spans="1:17" ht="14.4" x14ac:dyDescent="0.3">
      <c r="A9" s="165">
        <v>5</v>
      </c>
      <c r="B9" s="71"/>
      <c r="C9" s="85"/>
      <c r="D9" s="86"/>
      <c r="E9" s="87"/>
      <c r="F9" s="88"/>
      <c r="G9" s="160"/>
      <c r="H9" s="161"/>
      <c r="I9" s="162"/>
      <c r="M9" s="73"/>
    </row>
    <row r="10" spans="1:17" ht="14.4" x14ac:dyDescent="0.3">
      <c r="A10" s="165">
        <v>6</v>
      </c>
      <c r="B10" s="71"/>
      <c r="C10" s="89"/>
      <c r="D10" s="90"/>
      <c r="E10" s="91"/>
      <c r="F10" s="92"/>
      <c r="G10" s="160"/>
      <c r="H10" s="161"/>
      <c r="I10" s="162"/>
      <c r="M10" s="73"/>
    </row>
    <row r="11" spans="1:17" ht="14.4" x14ac:dyDescent="0.3">
      <c r="A11" s="165">
        <v>7</v>
      </c>
      <c r="B11" s="71"/>
      <c r="C11" s="85"/>
      <c r="D11" s="86"/>
      <c r="E11" s="87"/>
      <c r="F11" s="88"/>
      <c r="G11" s="160"/>
      <c r="H11" s="161"/>
      <c r="I11" s="162"/>
      <c r="M11" s="73"/>
    </row>
    <row r="12" spans="1:17" ht="14.4" x14ac:dyDescent="0.3">
      <c r="A12" s="165">
        <v>8</v>
      </c>
      <c r="B12" s="71"/>
      <c r="C12" s="89"/>
      <c r="D12" s="90"/>
      <c r="E12" s="91"/>
      <c r="F12" s="92"/>
      <c r="G12" s="160"/>
      <c r="H12" s="161"/>
      <c r="I12" s="162"/>
      <c r="M12" s="73"/>
    </row>
    <row r="13" spans="1:17" ht="14.4" x14ac:dyDescent="0.3">
      <c r="A13" s="165">
        <v>9</v>
      </c>
      <c r="B13" s="71"/>
      <c r="C13" s="85"/>
      <c r="D13" s="86"/>
      <c r="E13" s="87"/>
      <c r="F13" s="88"/>
      <c r="G13" s="160"/>
      <c r="H13" s="161"/>
      <c r="I13" s="162"/>
      <c r="M13" s="73"/>
    </row>
    <row r="14" spans="1:17" ht="14.4" x14ac:dyDescent="0.3">
      <c r="A14" s="165">
        <v>10</v>
      </c>
      <c r="B14" s="71"/>
      <c r="C14" s="89"/>
      <c r="D14" s="90"/>
      <c r="E14" s="91"/>
      <c r="F14" s="92"/>
      <c r="G14" s="160"/>
      <c r="H14" s="161"/>
      <c r="I14" s="162"/>
      <c r="M14" s="73"/>
    </row>
    <row r="15" spans="1:17" ht="14.4" x14ac:dyDescent="0.3">
      <c r="A15" s="165">
        <v>11</v>
      </c>
      <c r="B15" s="71"/>
      <c r="C15" s="85"/>
      <c r="D15" s="86"/>
      <c r="E15" s="87"/>
      <c r="F15" s="88"/>
      <c r="G15" s="160"/>
      <c r="H15" s="161"/>
      <c r="I15" s="162"/>
      <c r="M15" s="73"/>
    </row>
    <row r="16" spans="1:17" ht="14.4" x14ac:dyDescent="0.3">
      <c r="A16" s="165">
        <v>12</v>
      </c>
      <c r="B16" s="71"/>
      <c r="C16" s="89"/>
      <c r="D16" s="90"/>
      <c r="E16" s="91"/>
      <c r="F16" s="92"/>
      <c r="G16" s="160"/>
      <c r="H16" s="161"/>
      <c r="I16" s="162"/>
      <c r="M16" s="73"/>
    </row>
    <row r="17" spans="1:6" ht="14.4" x14ac:dyDescent="0.3">
      <c r="A17" s="165">
        <v>13</v>
      </c>
      <c r="B17" s="71"/>
      <c r="C17" s="85"/>
      <c r="D17" s="86"/>
      <c r="E17" s="87"/>
      <c r="F17" s="88"/>
    </row>
    <row r="18" spans="1:6" ht="14.4" x14ac:dyDescent="0.3">
      <c r="A18" s="165">
        <v>14</v>
      </c>
      <c r="B18" s="71"/>
      <c r="C18" s="89"/>
      <c r="D18" s="90"/>
      <c r="E18" s="91"/>
      <c r="F18" s="92"/>
    </row>
    <row r="19" spans="1:6" ht="14.4" x14ac:dyDescent="0.3">
      <c r="A19" s="165">
        <v>15</v>
      </c>
      <c r="C19" s="85"/>
      <c r="D19" s="86"/>
      <c r="E19" s="87"/>
      <c r="F19" s="88"/>
    </row>
    <row r="20" spans="1:6" ht="14.4" x14ac:dyDescent="0.3">
      <c r="A20" s="165">
        <v>16</v>
      </c>
      <c r="C20" s="89"/>
      <c r="D20" s="90"/>
      <c r="E20" s="91"/>
      <c r="F20" s="92"/>
    </row>
    <row r="21" spans="1:6" ht="14.4" x14ac:dyDescent="0.3">
      <c r="A21" s="165">
        <v>17</v>
      </c>
      <c r="C21" s="85"/>
      <c r="D21" s="86"/>
      <c r="E21" s="87"/>
      <c r="F21" s="88"/>
    </row>
    <row r="22" spans="1:6" ht="14.4" x14ac:dyDescent="0.3">
      <c r="A22" s="165">
        <v>18</v>
      </c>
      <c r="C22" s="89"/>
      <c r="D22" s="90"/>
      <c r="E22" s="91"/>
      <c r="F22" s="92"/>
    </row>
    <row r="23" spans="1:6" ht="14.4" x14ac:dyDescent="0.3">
      <c r="A23" s="165">
        <v>19</v>
      </c>
      <c r="C23" s="93"/>
      <c r="D23" s="94"/>
      <c r="E23" s="95"/>
      <c r="F23" s="96"/>
    </row>
    <row r="24" spans="1:6" ht="14.4" x14ac:dyDescent="0.3">
      <c r="A24" s="165">
        <v>20</v>
      </c>
      <c r="C24" s="89"/>
      <c r="D24" s="90"/>
      <c r="E24" s="91"/>
      <c r="F24" s="92"/>
    </row>
    <row r="25" spans="1:6" ht="14.4" x14ac:dyDescent="0.3">
      <c r="A25" s="165">
        <v>21</v>
      </c>
      <c r="C25" s="93"/>
      <c r="D25" s="94"/>
      <c r="E25" s="95"/>
      <c r="F25" s="96"/>
    </row>
    <row r="26" spans="1:6" ht="14.4" x14ac:dyDescent="0.3">
      <c r="A26" s="165">
        <v>22</v>
      </c>
      <c r="C26" s="89"/>
      <c r="D26" s="90"/>
      <c r="E26" s="91"/>
      <c r="F26" s="92"/>
    </row>
    <row r="27" spans="1:6" ht="14.4" x14ac:dyDescent="0.3">
      <c r="A27" s="165">
        <v>23</v>
      </c>
      <c r="C27" s="93"/>
      <c r="D27" s="94"/>
      <c r="E27" s="95"/>
      <c r="F27" s="96"/>
    </row>
    <row r="28" spans="1:6" ht="14.4" x14ac:dyDescent="0.3">
      <c r="A28" s="165">
        <v>24</v>
      </c>
      <c r="C28" s="89"/>
      <c r="D28" s="90"/>
      <c r="E28" s="91"/>
      <c r="F28" s="92"/>
    </row>
    <row r="29" spans="1:6" ht="14.4" x14ac:dyDescent="0.3">
      <c r="A29" s="165">
        <v>25</v>
      </c>
      <c r="C29" s="93"/>
      <c r="D29" s="94"/>
      <c r="E29" s="95"/>
      <c r="F29" s="96"/>
    </row>
    <row r="30" spans="1:6" ht="14.4" x14ac:dyDescent="0.3">
      <c r="A30" s="165">
        <v>26</v>
      </c>
      <c r="C30" s="89"/>
      <c r="D30" s="90"/>
      <c r="E30" s="91"/>
      <c r="F30" s="92"/>
    </row>
    <row r="31" spans="1:6" ht="14.4" x14ac:dyDescent="0.3">
      <c r="A31" s="165">
        <v>27</v>
      </c>
      <c r="C31" s="93"/>
      <c r="D31" s="94"/>
      <c r="E31" s="95"/>
      <c r="F31" s="96"/>
    </row>
    <row r="32" spans="1:6" ht="14.4" x14ac:dyDescent="0.3">
      <c r="A32" s="165">
        <v>28</v>
      </c>
      <c r="C32" s="89"/>
      <c r="D32" s="90"/>
      <c r="E32" s="91"/>
      <c r="F32" s="92"/>
    </row>
    <row r="33" spans="1:6" ht="14.4" x14ac:dyDescent="0.3">
      <c r="A33" s="165">
        <v>29</v>
      </c>
      <c r="C33" s="93"/>
      <c r="D33" s="94"/>
      <c r="E33" s="95"/>
      <c r="F33" s="96"/>
    </row>
    <row r="34" spans="1:6" ht="14.4" x14ac:dyDescent="0.3">
      <c r="A34" s="165">
        <v>30</v>
      </c>
      <c r="C34" s="89"/>
      <c r="D34" s="90"/>
      <c r="E34" s="91"/>
      <c r="F34" s="92"/>
    </row>
    <row r="35" spans="1:6" ht="14.4" x14ac:dyDescent="0.3">
      <c r="A35" s="165">
        <v>31</v>
      </c>
      <c r="C35" s="93"/>
      <c r="D35" s="94"/>
      <c r="E35" s="95"/>
      <c r="F35" s="96"/>
    </row>
    <row r="36" spans="1:6" ht="14.4" x14ac:dyDescent="0.3">
      <c r="A36" s="165">
        <v>32</v>
      </c>
      <c r="C36" s="89"/>
      <c r="D36" s="90"/>
      <c r="E36" s="91"/>
      <c r="F36" s="92"/>
    </row>
    <row r="37" spans="1:6" ht="14.4" x14ac:dyDescent="0.3">
      <c r="A37" s="165">
        <v>33</v>
      </c>
      <c r="C37" s="93"/>
      <c r="D37" s="94"/>
      <c r="E37" s="95"/>
      <c r="F37" s="96"/>
    </row>
    <row r="38" spans="1:6" ht="14.4" x14ac:dyDescent="0.3">
      <c r="A38" s="165">
        <v>34</v>
      </c>
      <c r="C38" s="89"/>
      <c r="D38" s="90"/>
      <c r="E38" s="91"/>
      <c r="F38" s="92"/>
    </row>
    <row r="39" spans="1:6" ht="14.4" x14ac:dyDescent="0.3">
      <c r="A39" s="165">
        <v>35</v>
      </c>
      <c r="C39" s="93"/>
      <c r="D39" s="94"/>
      <c r="E39" s="95"/>
      <c r="F39" s="96"/>
    </row>
    <row r="40" spans="1:6" ht="14.4" x14ac:dyDescent="0.3">
      <c r="A40" s="165">
        <v>36</v>
      </c>
      <c r="C40" s="89"/>
      <c r="D40" s="90"/>
      <c r="E40" s="91"/>
      <c r="F40" s="92"/>
    </row>
    <row r="41" spans="1:6" ht="14.4" x14ac:dyDescent="0.3">
      <c r="A41" s="165">
        <v>37</v>
      </c>
      <c r="C41" s="93"/>
      <c r="D41" s="94"/>
      <c r="E41" s="95"/>
      <c r="F41" s="96"/>
    </row>
    <row r="42" spans="1:6" ht="14.4" x14ac:dyDescent="0.3">
      <c r="A42" s="165">
        <v>38</v>
      </c>
      <c r="C42" s="89"/>
      <c r="D42" s="90"/>
      <c r="E42" s="91"/>
      <c r="F42" s="92"/>
    </row>
    <row r="43" spans="1:6" ht="14.4" x14ac:dyDescent="0.3">
      <c r="A43" s="165">
        <v>39</v>
      </c>
      <c r="C43" s="93"/>
      <c r="D43" s="94"/>
      <c r="E43" s="95"/>
      <c r="F43" s="96"/>
    </row>
    <row r="44" spans="1:6" ht="14.4" x14ac:dyDescent="0.3">
      <c r="A44" s="165">
        <v>40</v>
      </c>
      <c r="C44" s="89"/>
      <c r="D44" s="90"/>
      <c r="E44" s="91"/>
      <c r="F44" s="92"/>
    </row>
    <row r="45" spans="1:6" ht="14.4" x14ac:dyDescent="0.3">
      <c r="A45" s="165">
        <v>41</v>
      </c>
      <c r="C45" s="93"/>
      <c r="D45" s="94"/>
      <c r="E45" s="95"/>
      <c r="F45" s="96"/>
    </row>
    <row r="46" spans="1:6" ht="14.4" x14ac:dyDescent="0.3">
      <c r="A46" s="165">
        <v>42</v>
      </c>
      <c r="C46" s="89"/>
      <c r="D46" s="90"/>
      <c r="E46" s="91"/>
      <c r="F46" s="92"/>
    </row>
    <row r="47" spans="1:6" ht="14.4" x14ac:dyDescent="0.3">
      <c r="A47" s="165">
        <v>43</v>
      </c>
      <c r="C47" s="93"/>
      <c r="D47" s="94"/>
      <c r="E47" s="95"/>
      <c r="F47" s="96"/>
    </row>
    <row r="48" spans="1:6" ht="14.4" x14ac:dyDescent="0.3">
      <c r="A48" s="165">
        <v>44</v>
      </c>
      <c r="C48" s="89"/>
      <c r="D48" s="90"/>
      <c r="E48" s="91"/>
      <c r="F48" s="92"/>
    </row>
    <row r="49" spans="1:6" ht="14.4" x14ac:dyDescent="0.3">
      <c r="A49" s="165">
        <v>45</v>
      </c>
      <c r="C49" s="93"/>
      <c r="D49" s="94"/>
      <c r="E49" s="95"/>
      <c r="F49" s="96"/>
    </row>
    <row r="50" spans="1:6" ht="14.4" x14ac:dyDescent="0.3">
      <c r="A50" s="165">
        <v>46</v>
      </c>
      <c r="C50" s="89"/>
      <c r="D50" s="90"/>
      <c r="E50" s="91"/>
      <c r="F50" s="92"/>
    </row>
    <row r="51" spans="1:6" ht="14.4" x14ac:dyDescent="0.3">
      <c r="A51" s="165">
        <v>47</v>
      </c>
      <c r="C51" s="93"/>
      <c r="D51" s="94"/>
      <c r="E51" s="95"/>
      <c r="F51" s="96"/>
    </row>
    <row r="52" spans="1:6" ht="14.4" x14ac:dyDescent="0.3">
      <c r="A52" s="165">
        <v>48</v>
      </c>
      <c r="C52" s="89"/>
      <c r="D52" s="90"/>
      <c r="E52" s="91"/>
      <c r="F52" s="92"/>
    </row>
    <row r="53" spans="1:6" ht="14.4" x14ac:dyDescent="0.3">
      <c r="A53" s="165">
        <v>49</v>
      </c>
      <c r="C53" s="93"/>
      <c r="D53" s="94"/>
      <c r="E53" s="95"/>
      <c r="F53" s="96"/>
    </row>
    <row r="54" spans="1:6" ht="14.4" x14ac:dyDescent="0.3">
      <c r="A54" s="165">
        <v>50</v>
      </c>
      <c r="C54" s="89"/>
      <c r="D54" s="90"/>
      <c r="E54" s="91"/>
      <c r="F54" s="92"/>
    </row>
    <row r="55" spans="1:6" ht="14.4" x14ac:dyDescent="0.3">
      <c r="A55" s="165">
        <v>51</v>
      </c>
      <c r="C55" s="93"/>
      <c r="D55" s="94"/>
      <c r="E55" s="95"/>
      <c r="F55" s="96"/>
    </row>
    <row r="56" spans="1:6" ht="14.4" x14ac:dyDescent="0.3">
      <c r="A56" s="165">
        <v>52</v>
      </c>
      <c r="C56" s="89"/>
      <c r="D56" s="90"/>
      <c r="E56" s="91"/>
      <c r="F56" s="92"/>
    </row>
    <row r="57" spans="1:6" ht="14.4" x14ac:dyDescent="0.3">
      <c r="A57" s="165">
        <v>53</v>
      </c>
      <c r="C57" s="93"/>
      <c r="D57" s="94"/>
      <c r="E57" s="95"/>
      <c r="F57" s="96"/>
    </row>
    <row r="58" spans="1:6" ht="14.4" x14ac:dyDescent="0.3">
      <c r="A58" s="165">
        <v>54</v>
      </c>
      <c r="C58" s="89"/>
      <c r="D58" s="90"/>
      <c r="E58" s="91"/>
      <c r="F58" s="92"/>
    </row>
    <row r="59" spans="1:6" ht="14.4" x14ac:dyDescent="0.3">
      <c r="A59" s="165">
        <v>55</v>
      </c>
      <c r="C59" s="93"/>
      <c r="D59" s="94"/>
      <c r="E59" s="95"/>
      <c r="F59" s="96"/>
    </row>
    <row r="60" spans="1:6" ht="14.4" x14ac:dyDescent="0.3">
      <c r="A60" s="165">
        <v>56</v>
      </c>
      <c r="C60" s="89"/>
      <c r="D60" s="90"/>
      <c r="E60" s="91"/>
      <c r="F60" s="92"/>
    </row>
    <row r="61" spans="1:6" ht="14.4" x14ac:dyDescent="0.3">
      <c r="A61" s="165">
        <v>57</v>
      </c>
      <c r="C61" s="93"/>
      <c r="D61" s="94"/>
      <c r="E61" s="95"/>
      <c r="F61" s="96"/>
    </row>
    <row r="62" spans="1:6" ht="14.4" x14ac:dyDescent="0.3">
      <c r="A62" s="165">
        <v>58</v>
      </c>
      <c r="C62" s="89"/>
      <c r="D62" s="90"/>
      <c r="E62" s="91"/>
      <c r="F62" s="92"/>
    </row>
    <row r="63" spans="1:6" ht="14.4" x14ac:dyDescent="0.3">
      <c r="A63" s="165">
        <v>59</v>
      </c>
      <c r="C63" s="93"/>
      <c r="D63" s="94"/>
      <c r="E63" s="95"/>
      <c r="F63" s="96"/>
    </row>
    <row r="64" spans="1:6" ht="14.4" x14ac:dyDescent="0.3">
      <c r="A64" s="165">
        <v>60</v>
      </c>
      <c r="C64" s="89"/>
      <c r="D64" s="90"/>
      <c r="E64" s="91"/>
      <c r="F64" s="92"/>
    </row>
    <row r="65" spans="1:6" ht="14.4" x14ac:dyDescent="0.3">
      <c r="A65" s="165">
        <v>61</v>
      </c>
      <c r="C65" s="93"/>
      <c r="D65" s="94"/>
      <c r="E65" s="95"/>
      <c r="F65" s="96"/>
    </row>
    <row r="66" spans="1:6" ht="14.4" x14ac:dyDescent="0.3">
      <c r="A66" s="165">
        <v>62</v>
      </c>
      <c r="C66" s="89"/>
      <c r="D66" s="90"/>
      <c r="E66" s="91"/>
      <c r="F66" s="92"/>
    </row>
    <row r="67" spans="1:6" ht="14.4" x14ac:dyDescent="0.3">
      <c r="A67" s="165">
        <v>63</v>
      </c>
      <c r="C67" s="93"/>
      <c r="D67" s="94"/>
      <c r="E67" s="95"/>
      <c r="F67" s="96"/>
    </row>
    <row r="68" spans="1:6" ht="14.4" x14ac:dyDescent="0.3">
      <c r="A68" s="165">
        <v>64</v>
      </c>
      <c r="C68" s="89"/>
      <c r="D68" s="90"/>
      <c r="E68" s="91"/>
      <c r="F68" s="92"/>
    </row>
    <row r="69" spans="1:6" ht="14.4" x14ac:dyDescent="0.3">
      <c r="A69" s="165">
        <v>65</v>
      </c>
      <c r="C69" s="93"/>
      <c r="D69" s="94"/>
      <c r="E69" s="95"/>
      <c r="F69" s="96"/>
    </row>
    <row r="70" spans="1:6" ht="14.4" x14ac:dyDescent="0.3">
      <c r="A70" s="165">
        <v>66</v>
      </c>
      <c r="C70" s="89"/>
      <c r="D70" s="90"/>
      <c r="E70" s="91"/>
      <c r="F70" s="92"/>
    </row>
    <row r="71" spans="1:6" ht="14.4" x14ac:dyDescent="0.3">
      <c r="A71" s="165">
        <v>67</v>
      </c>
      <c r="C71" s="93"/>
      <c r="D71" s="94"/>
      <c r="E71" s="95"/>
      <c r="F71" s="96"/>
    </row>
    <row r="72" spans="1:6" ht="14.4" x14ac:dyDescent="0.3">
      <c r="A72" s="165">
        <v>68</v>
      </c>
      <c r="C72" s="89"/>
      <c r="D72" s="90"/>
      <c r="E72" s="91"/>
      <c r="F72" s="92"/>
    </row>
    <row r="73" spans="1:6" ht="14.4" x14ac:dyDescent="0.3">
      <c r="A73" s="165">
        <v>69</v>
      </c>
      <c r="C73" s="93"/>
      <c r="D73" s="94"/>
      <c r="E73" s="95"/>
      <c r="F73" s="96"/>
    </row>
    <row r="74" spans="1:6" ht="14.4" x14ac:dyDescent="0.3">
      <c r="A74" s="165">
        <v>70</v>
      </c>
      <c r="C74" s="89"/>
      <c r="D74" s="90"/>
      <c r="E74" s="91"/>
      <c r="F74" s="92"/>
    </row>
    <row r="75" spans="1:6" ht="14.4" x14ac:dyDescent="0.3">
      <c r="A75" s="165">
        <v>71</v>
      </c>
      <c r="C75" s="93"/>
      <c r="D75" s="94"/>
      <c r="E75" s="95"/>
      <c r="F75" s="96"/>
    </row>
    <row r="76" spans="1:6" ht="14.4" x14ac:dyDescent="0.3">
      <c r="A76" s="165">
        <v>72</v>
      </c>
      <c r="C76" s="89"/>
      <c r="D76" s="90"/>
      <c r="E76" s="91"/>
      <c r="F76" s="92"/>
    </row>
    <row r="77" spans="1:6" ht="14.4" x14ac:dyDescent="0.3">
      <c r="A77" s="165">
        <v>73</v>
      </c>
      <c r="C77" s="93"/>
      <c r="D77" s="94"/>
      <c r="E77" s="95"/>
      <c r="F77" s="96"/>
    </row>
    <row r="78" spans="1:6" ht="14.4" x14ac:dyDescent="0.3">
      <c r="A78" s="165">
        <v>74</v>
      </c>
      <c r="C78" s="89"/>
      <c r="D78" s="90"/>
      <c r="E78" s="91"/>
      <c r="F78" s="92"/>
    </row>
    <row r="79" spans="1:6" ht="14.4" x14ac:dyDescent="0.3">
      <c r="A79" s="165">
        <v>75</v>
      </c>
      <c r="C79" s="93"/>
      <c r="D79" s="94"/>
      <c r="E79" s="95"/>
      <c r="F79" s="96"/>
    </row>
    <row r="80" spans="1:6" ht="14.4" x14ac:dyDescent="0.3">
      <c r="A80" s="165">
        <v>76</v>
      </c>
      <c r="C80" s="89"/>
      <c r="D80" s="90"/>
      <c r="E80" s="91"/>
      <c r="F80" s="92"/>
    </row>
    <row r="81" spans="1:6" ht="14.4" x14ac:dyDescent="0.3">
      <c r="A81" s="165">
        <v>77</v>
      </c>
      <c r="C81" s="93"/>
      <c r="D81" s="94"/>
      <c r="E81" s="95"/>
      <c r="F81" s="96"/>
    </row>
    <row r="82" spans="1:6" ht="14.4" x14ac:dyDescent="0.3">
      <c r="A82" s="165">
        <v>78</v>
      </c>
      <c r="C82" s="89"/>
      <c r="D82" s="90"/>
      <c r="E82" s="91"/>
      <c r="F82" s="92"/>
    </row>
    <row r="83" spans="1:6" ht="14.4" x14ac:dyDescent="0.3">
      <c r="A83" s="165">
        <v>79</v>
      </c>
      <c r="C83" s="93"/>
      <c r="D83" s="94"/>
      <c r="E83" s="95"/>
      <c r="F83" s="96"/>
    </row>
    <row r="84" spans="1:6" ht="14.4" x14ac:dyDescent="0.3">
      <c r="A84" s="165">
        <v>80</v>
      </c>
      <c r="C84" s="89"/>
      <c r="D84" s="90"/>
      <c r="E84" s="91"/>
      <c r="F84" s="92"/>
    </row>
    <row r="85" spans="1:6" ht="14.4" x14ac:dyDescent="0.3">
      <c r="A85" s="165">
        <v>81</v>
      </c>
      <c r="C85" s="93"/>
      <c r="D85" s="94"/>
      <c r="E85" s="95"/>
      <c r="F85" s="96"/>
    </row>
    <row r="86" spans="1:6" ht="14.4" x14ac:dyDescent="0.3">
      <c r="A86" s="165">
        <v>82</v>
      </c>
      <c r="C86" s="89"/>
      <c r="D86" s="90"/>
      <c r="E86" s="91"/>
      <c r="F86" s="92"/>
    </row>
    <row r="87" spans="1:6" ht="14.4" x14ac:dyDescent="0.3">
      <c r="A87" s="165">
        <v>83</v>
      </c>
      <c r="C87" s="93"/>
      <c r="D87" s="94"/>
      <c r="E87" s="95"/>
      <c r="F87" s="96"/>
    </row>
    <row r="88" spans="1:6" ht="14.4" x14ac:dyDescent="0.3">
      <c r="A88" s="165">
        <v>84</v>
      </c>
      <c r="C88" s="89"/>
      <c r="D88" s="90"/>
      <c r="E88" s="91"/>
      <c r="F88" s="92"/>
    </row>
    <row r="89" spans="1:6" ht="14.4" x14ac:dyDescent="0.3">
      <c r="A89" s="165">
        <v>85</v>
      </c>
      <c r="C89" s="93"/>
      <c r="D89" s="94"/>
      <c r="E89" s="95"/>
      <c r="F89" s="96"/>
    </row>
    <row r="90" spans="1:6" ht="14.4" x14ac:dyDescent="0.3">
      <c r="A90" s="165">
        <v>86</v>
      </c>
      <c r="C90" s="89"/>
      <c r="D90" s="90"/>
      <c r="E90" s="91"/>
      <c r="F90" s="92"/>
    </row>
    <row r="91" spans="1:6" ht="14.4" x14ac:dyDescent="0.3">
      <c r="A91" s="165">
        <v>87</v>
      </c>
      <c r="C91" s="93"/>
      <c r="D91" s="94"/>
      <c r="E91" s="95"/>
      <c r="F91" s="96"/>
    </row>
    <row r="92" spans="1:6" x14ac:dyDescent="0.3">
      <c r="C92" s="70"/>
    </row>
    <row r="93" spans="1:6" x14ac:dyDescent="0.3">
      <c r="C93" s="164" t="s">
        <v>1705</v>
      </c>
    </row>
  </sheetData>
  <sheetProtection sheet="1" objects="1" scenarios="1" formatCells="0" formatColumns="0" formatRows="0" insertHyperlinks="0" selectLockedCells="1" sort="0" autoFilter="0"/>
  <autoFilter ref="C4:F91" xr:uid="{00000000-0009-0000-0000-000010000000}"/>
  <conditionalFormatting sqref="F5:F91">
    <cfRule type="iconSet" priority="1">
      <iconSet iconSet="3Symbols2" showValue="0" reverse="1">
        <cfvo type="percent" val="0"/>
        <cfvo type="num" val="1.25"/>
        <cfvo type="num" val="2.25"/>
      </iconSet>
    </cfRule>
  </conditionalFormatting>
  <dataValidations count="1">
    <dataValidation type="list" allowBlank="1" showInputMessage="1" showErrorMessage="1" sqref="F5:F91" xr:uid="{00000000-0002-0000-1000-000000000000}">
      <formula1>"1,2,3"</formula1>
    </dataValidation>
  </dataValidations>
  <pageMargins left="0.31496062992125984" right="0.31496062992125984" top="0.15748031496062992" bottom="0.55118110236220474" header="0.31496062992125984" footer="0.31496062992125984"/>
  <pageSetup paperSize="9" fitToWidth="4" fitToHeight="4" orientation="portrait" horizontalDpi="1200" verticalDpi="1200" r:id="rId1"/>
  <headerFooter>
    <oddFooter>&amp;L&amp;10&amp;K01+049&amp;D&amp;R&amp;10&amp;K01+032&amp;P/&amp;N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B663D-62F5-4115-BA9D-EBE65FE8B555}">
  <sheetPr codeName="Tabelle9">
    <tabColor theme="3" tint="0.39997558519241921"/>
    <pageSetUpPr fitToPage="1"/>
  </sheetPr>
  <dimension ref="C1:N21"/>
  <sheetViews>
    <sheetView showGridLines="0" showRowColHeaders="0" zoomScaleNormal="100" workbookViewId="0">
      <pane ySplit="5" topLeftCell="A6" activePane="bottomLeft" state="frozen"/>
      <selection pane="bottomLeft" activeCell="C6" sqref="C6"/>
    </sheetView>
  </sheetViews>
  <sheetFormatPr baseColWidth="10" defaultColWidth="9.6640625" defaultRowHeight="30" customHeight="1" x14ac:dyDescent="0.3"/>
  <cols>
    <col min="1" max="1" width="2.88671875" style="748" customWidth="1"/>
    <col min="2" max="2" width="3.6640625" style="748" customWidth="1"/>
    <col min="3" max="3" width="6.33203125" style="748" customWidth="1"/>
    <col min="4" max="6" width="3.109375" style="748" customWidth="1"/>
    <col min="7" max="7" width="7.109375" style="748" customWidth="1"/>
    <col min="8" max="8" width="56.44140625" style="748" customWidth="1"/>
    <col min="9" max="9" width="10.88671875" style="748" customWidth="1"/>
    <col min="10" max="10" width="15.109375" style="748" customWidth="1"/>
    <col min="11" max="12" width="16.21875" style="748" customWidth="1"/>
    <col min="13" max="13" width="13.88671875" style="748" customWidth="1"/>
    <col min="14" max="14" width="41" style="748" customWidth="1"/>
    <col min="15" max="15" width="2.88671875" style="748" customWidth="1"/>
    <col min="16" max="16384" width="9.6640625" style="748"/>
  </cols>
  <sheetData>
    <row r="1" spans="3:14" ht="30" customHeight="1" x14ac:dyDescent="0.3">
      <c r="M1" s="171">
        <f ca="1">YEAR(TODAY())</f>
        <v>2026</v>
      </c>
      <c r="N1" s="749"/>
    </row>
    <row r="2" spans="3:14" ht="84" customHeight="1" x14ac:dyDescent="0.3">
      <c r="C2" s="1082" t="str">
        <f ca="1">' '!A681</f>
        <v>LISTE DE TÂCHES</v>
      </c>
      <c r="D2" s="1082"/>
      <c r="E2" s="1082"/>
      <c r="F2" s="1082"/>
      <c r="G2" s="1082"/>
      <c r="H2" s="1082"/>
      <c r="I2" s="1082"/>
      <c r="J2" s="1082"/>
      <c r="K2" s="1082"/>
      <c r="L2" s="1082"/>
      <c r="M2" s="1082"/>
      <c r="N2" s="1082"/>
    </row>
    <row r="3" spans="3:14" ht="12.6" customHeight="1" x14ac:dyDescent="0.3">
      <c r="C3" s="750"/>
      <c r="D3" s="750"/>
      <c r="E3" s="750"/>
      <c r="F3" s="750"/>
      <c r="G3" s="750"/>
      <c r="H3" s="750"/>
      <c r="I3" s="750"/>
      <c r="J3" s="750"/>
      <c r="K3" s="750"/>
      <c r="L3" s="750"/>
      <c r="M3" s="750"/>
      <c r="N3" s="750"/>
    </row>
    <row r="4" spans="3:14" ht="58.2" customHeight="1" x14ac:dyDescent="0.3">
      <c r="C4" s="172" t="str">
        <f ca="1">' '!A682</f>
        <v>No</v>
      </c>
      <c r="D4" s="173" t="str">
        <f ca="1">' '!A694</f>
        <v>Tâche</v>
      </c>
      <c r="E4" s="173" t="str">
        <f ca="1">' '!A695</f>
        <v>Projet</v>
      </c>
      <c r="F4" s="173" t="str">
        <f ca="1">' '!A696</f>
        <v>Décision</v>
      </c>
      <c r="G4" s="172" t="str">
        <f ca="1">' '!A683</f>
        <v>Qui</v>
      </c>
      <c r="H4" s="172" t="str">
        <f ca="1">' '!A684</f>
        <v>Tâche / Décision / Projet</v>
      </c>
      <c r="I4" s="172" t="str">
        <f ca="1">' '!A685</f>
        <v>Priorité</v>
      </c>
      <c r="J4" s="172" t="str">
        <f ca="1">' '!A686</f>
        <v xml:space="preserve">Date de début </v>
      </c>
      <c r="K4" s="172" t="str">
        <f ca="1">' '!A687</f>
        <v>Date d’échéance</v>
      </c>
      <c r="L4" s="172" t="str">
        <f ca="1">' '!A688</f>
        <v>Etat</v>
      </c>
      <c r="M4" s="172" t="str">
        <f ca="1">' '!A689</f>
        <v>% achevé</v>
      </c>
      <c r="N4" s="172" t="str">
        <f ca="1">' '!A690</f>
        <v>Remarques</v>
      </c>
    </row>
    <row r="5" spans="3:14" s="751" customFormat="1" ht="17.399999999999999" customHeight="1" x14ac:dyDescent="0.3">
      <c r="C5" s="174" t="s">
        <v>641</v>
      </c>
      <c r="D5" s="174" t="s">
        <v>2254</v>
      </c>
      <c r="E5" s="174" t="s">
        <v>2255</v>
      </c>
      <c r="F5" s="174" t="s">
        <v>2256</v>
      </c>
      <c r="G5" s="174" t="s">
        <v>2216</v>
      </c>
      <c r="H5" s="174" t="s">
        <v>2220</v>
      </c>
      <c r="I5" s="174" t="s">
        <v>1086</v>
      </c>
      <c r="J5" s="174" t="s">
        <v>2226</v>
      </c>
      <c r="K5" s="174" t="s">
        <v>2230</v>
      </c>
      <c r="L5" s="174" t="s">
        <v>2233</v>
      </c>
      <c r="M5" s="174" t="s">
        <v>2236</v>
      </c>
      <c r="N5" s="174" t="s">
        <v>128</v>
      </c>
    </row>
    <row r="6" spans="3:14" ht="30" customHeight="1" x14ac:dyDescent="0.3">
      <c r="C6" s="175">
        <v>1</v>
      </c>
      <c r="D6" s="203" t="s">
        <v>2257</v>
      </c>
      <c r="E6" s="203"/>
      <c r="F6" s="203"/>
      <c r="G6" s="204" t="s">
        <v>2258</v>
      </c>
      <c r="H6" s="204" t="s">
        <v>2259</v>
      </c>
      <c r="I6" s="203">
        <v>1</v>
      </c>
      <c r="J6" s="205">
        <f ca="1">TODAY()</f>
        <v>46049</v>
      </c>
      <c r="K6" s="205">
        <f ca="1">TODAY()+30</f>
        <v>46079</v>
      </c>
      <c r="L6" s="204" t="s">
        <v>1130</v>
      </c>
      <c r="M6" s="206">
        <v>0.25</v>
      </c>
      <c r="N6" s="204"/>
    </row>
    <row r="7" spans="3:14" ht="30" customHeight="1" x14ac:dyDescent="0.3">
      <c r="C7" s="176">
        <v>2</v>
      </c>
      <c r="D7" s="207"/>
      <c r="E7" s="207" t="s">
        <v>2257</v>
      </c>
      <c r="F7" s="207"/>
      <c r="G7" s="208" t="s">
        <v>2260</v>
      </c>
      <c r="H7" s="209" t="s">
        <v>2261</v>
      </c>
      <c r="I7" s="207">
        <v>2</v>
      </c>
      <c r="J7" s="210">
        <f ca="1">TODAY()-7</f>
        <v>46042</v>
      </c>
      <c r="K7" s="210">
        <f ca="1">TODAY()-5</f>
        <v>46044</v>
      </c>
      <c r="L7" s="210" t="s">
        <v>2244</v>
      </c>
      <c r="M7" s="211">
        <v>0.5</v>
      </c>
      <c r="N7" s="208"/>
    </row>
    <row r="8" spans="3:14" ht="30" customHeight="1" x14ac:dyDescent="0.3">
      <c r="C8" s="175">
        <v>3</v>
      </c>
      <c r="D8" s="203"/>
      <c r="E8" s="203"/>
      <c r="F8" s="203" t="s">
        <v>2257</v>
      </c>
      <c r="G8" s="204" t="s">
        <v>2258</v>
      </c>
      <c r="H8" s="204" t="s">
        <v>1717</v>
      </c>
      <c r="I8" s="203">
        <v>1</v>
      </c>
      <c r="J8" s="205">
        <f ca="1">TODAY()</f>
        <v>46049</v>
      </c>
      <c r="K8" s="205">
        <f ca="1">TODAY()</f>
        <v>46049</v>
      </c>
      <c r="L8" s="205" t="s">
        <v>2240</v>
      </c>
      <c r="M8" s="206">
        <v>1</v>
      </c>
      <c r="N8" s="204" t="s">
        <v>2262</v>
      </c>
    </row>
    <row r="9" spans="3:14" ht="30" customHeight="1" x14ac:dyDescent="0.3">
      <c r="C9" s="176">
        <v>4</v>
      </c>
      <c r="D9" s="207"/>
      <c r="E9" s="207"/>
      <c r="F9" s="207"/>
      <c r="G9" s="208"/>
      <c r="H9" s="208"/>
      <c r="I9" s="207"/>
      <c r="J9" s="210"/>
      <c r="K9" s="210"/>
      <c r="L9" s="210"/>
      <c r="M9" s="211"/>
      <c r="N9" s="208"/>
    </row>
    <row r="10" spans="3:14" ht="30" customHeight="1" x14ac:dyDescent="0.3">
      <c r="C10" s="175">
        <v>5</v>
      </c>
      <c r="D10" s="203"/>
      <c r="E10" s="203"/>
      <c r="F10" s="203"/>
      <c r="G10" s="204"/>
      <c r="H10" s="204"/>
      <c r="I10" s="203"/>
      <c r="J10" s="205"/>
      <c r="K10" s="205"/>
      <c r="L10" s="205"/>
      <c r="M10" s="204"/>
      <c r="N10" s="204"/>
    </row>
    <row r="11" spans="3:14" ht="30" customHeight="1" x14ac:dyDescent="0.3">
      <c r="C11" s="176">
        <v>6</v>
      </c>
      <c r="D11" s="207"/>
      <c r="E11" s="207"/>
      <c r="F11" s="207"/>
      <c r="G11" s="208"/>
      <c r="H11" s="208"/>
      <c r="I11" s="207"/>
      <c r="J11" s="210"/>
      <c r="K11" s="210"/>
      <c r="L11" s="210"/>
      <c r="M11" s="208"/>
      <c r="N11" s="208"/>
    </row>
    <row r="12" spans="3:14" ht="30" customHeight="1" x14ac:dyDescent="0.3">
      <c r="C12" s="175">
        <v>7</v>
      </c>
      <c r="D12" s="203"/>
      <c r="E12" s="203"/>
      <c r="F12" s="203"/>
      <c r="G12" s="204"/>
      <c r="H12" s="204"/>
      <c r="I12" s="203"/>
      <c r="J12" s="205"/>
      <c r="K12" s="205"/>
      <c r="L12" s="205"/>
      <c r="M12" s="204"/>
      <c r="N12" s="204"/>
    </row>
    <row r="13" spans="3:14" ht="30" customHeight="1" x14ac:dyDescent="0.3">
      <c r="C13" s="176">
        <v>8</v>
      </c>
      <c r="D13" s="207"/>
      <c r="E13" s="207"/>
      <c r="F13" s="207"/>
      <c r="G13" s="208"/>
      <c r="H13" s="208"/>
      <c r="I13" s="207"/>
      <c r="J13" s="210"/>
      <c r="K13" s="210"/>
      <c r="L13" s="210"/>
      <c r="M13" s="208"/>
      <c r="N13" s="208"/>
    </row>
    <row r="14" spans="3:14" ht="30" customHeight="1" x14ac:dyDescent="0.3">
      <c r="C14" s="175">
        <v>9</v>
      </c>
      <c r="D14" s="203"/>
      <c r="E14" s="203"/>
      <c r="F14" s="203"/>
      <c r="G14" s="204"/>
      <c r="H14" s="204"/>
      <c r="I14" s="203"/>
      <c r="J14" s="205"/>
      <c r="K14" s="205"/>
      <c r="L14" s="205"/>
      <c r="M14" s="204"/>
      <c r="N14" s="204"/>
    </row>
    <row r="15" spans="3:14" ht="30" customHeight="1" x14ac:dyDescent="0.3">
      <c r="C15" s="176">
        <v>10</v>
      </c>
      <c r="D15" s="207"/>
      <c r="E15" s="207"/>
      <c r="F15" s="207"/>
      <c r="G15" s="208"/>
      <c r="H15" s="208"/>
      <c r="I15" s="207"/>
      <c r="J15" s="210"/>
      <c r="K15" s="210"/>
      <c r="L15" s="210"/>
      <c r="M15" s="208"/>
      <c r="N15" s="208"/>
    </row>
    <row r="16" spans="3:14" ht="30" customHeight="1" x14ac:dyDescent="0.3">
      <c r="C16" s="175">
        <v>11</v>
      </c>
      <c r="D16" s="203"/>
      <c r="E16" s="203"/>
      <c r="F16" s="203"/>
      <c r="G16" s="204"/>
      <c r="H16" s="204"/>
      <c r="I16" s="203"/>
      <c r="J16" s="205"/>
      <c r="K16" s="205"/>
      <c r="L16" s="205"/>
      <c r="M16" s="204"/>
      <c r="N16" s="204"/>
    </row>
    <row r="17" spans="3:14" ht="30" customHeight="1" x14ac:dyDescent="0.3">
      <c r="C17" s="176">
        <v>12</v>
      </c>
      <c r="D17" s="207"/>
      <c r="E17" s="207"/>
      <c r="F17" s="207"/>
      <c r="G17" s="208"/>
      <c r="H17" s="208"/>
      <c r="I17" s="207"/>
      <c r="J17" s="210"/>
      <c r="K17" s="210"/>
      <c r="L17" s="210"/>
      <c r="M17" s="208"/>
      <c r="N17" s="208"/>
    </row>
    <row r="18" spans="3:14" ht="30" customHeight="1" x14ac:dyDescent="0.3">
      <c r="C18" s="175">
        <v>13</v>
      </c>
      <c r="D18" s="203"/>
      <c r="E18" s="203"/>
      <c r="F18" s="203"/>
      <c r="G18" s="204"/>
      <c r="H18" s="204"/>
      <c r="I18" s="203"/>
      <c r="J18" s="205"/>
      <c r="K18" s="205"/>
      <c r="L18" s="205"/>
      <c r="M18" s="204"/>
      <c r="N18" s="204"/>
    </row>
    <row r="19" spans="3:14" ht="30" customHeight="1" x14ac:dyDescent="0.3">
      <c r="C19" s="176">
        <v>14</v>
      </c>
      <c r="D19" s="207"/>
      <c r="E19" s="207"/>
      <c r="F19" s="207"/>
      <c r="G19" s="208"/>
      <c r="H19" s="208"/>
      <c r="I19" s="207"/>
      <c r="J19" s="210"/>
      <c r="K19" s="210"/>
      <c r="L19" s="210"/>
      <c r="M19" s="208"/>
      <c r="N19" s="208"/>
    </row>
    <row r="20" spans="3:14" ht="30" customHeight="1" x14ac:dyDescent="0.3">
      <c r="C20" s="175"/>
      <c r="D20" s="203"/>
      <c r="E20" s="203"/>
      <c r="F20" s="203"/>
      <c r="G20" s="204"/>
      <c r="H20" s="204"/>
      <c r="I20" s="203"/>
      <c r="J20" s="205"/>
      <c r="K20" s="205"/>
      <c r="L20" s="205"/>
      <c r="M20" s="204"/>
      <c r="N20" s="204"/>
    </row>
    <row r="21" spans="3:14" ht="30" customHeight="1" x14ac:dyDescent="0.3">
      <c r="C21" s="175"/>
      <c r="D21" s="203"/>
      <c r="E21" s="203"/>
      <c r="F21" s="203"/>
      <c r="G21" s="204"/>
      <c r="H21" s="204"/>
      <c r="I21" s="203"/>
      <c r="J21" s="205"/>
      <c r="K21" s="205"/>
      <c r="L21" s="205"/>
      <c r="M21" s="204"/>
      <c r="N21" s="204"/>
    </row>
  </sheetData>
  <sheetProtection sheet="1" scenarios="1" formatCells="0" formatColumns="0" formatRows="0" insertColumns="0" insertRows="0" insertHyperlinks="0" deleteColumns="0" deleteRows="0" sort="0" autoFilter="0"/>
  <mergeCells count="1">
    <mergeCell ref="C2:N2"/>
  </mergeCells>
  <conditionalFormatting sqref="K6:K21">
    <cfRule type="expression" dxfId="112" priority="1">
      <formula>IF(K6&lt;&gt;"",J6&gt;K6)</formula>
    </cfRule>
    <cfRule type="expression" dxfId="111" priority="2">
      <formula>AND(K6&lt;&gt;"",K6&lt;TODAY())</formula>
    </cfRule>
    <cfRule type="expression" dxfId="110" priority="3">
      <formula>AND(K6&lt;&gt;"",K6&lt;(TODAY()+7))</formula>
    </cfRule>
  </conditionalFormatting>
  <conditionalFormatting sqref="M6:M21">
    <cfRule type="dataBar" priority="4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{05C02FA8-8A36-4314-A272-06BED8066A0B}</x14:id>
        </ext>
      </extLst>
    </cfRule>
  </conditionalFormatting>
  <dataValidations count="7">
    <dataValidation type="custom" errorStyle="warning" allowBlank="1" showInputMessage="1" showErrorMessage="1" error="La date d’échéance doit être supérieure ou égale à la date de début. Sélectionnez OUI pour conserver l’entrée, NON pour réessayer et ANNULER pour effacer le contenu de la cellule" sqref="K9:K19" xr:uid="{DA3CD09C-E231-4490-8957-590836F23E5E}">
      <formula1>K9&gt;=J9</formula1>
    </dataValidation>
    <dataValidation type="list" errorStyle="warning" allowBlank="1" showInputMessage="1" showErrorMessage="1" error="Sélectionnez une entrée dans la liste. Sélectionnez ANNULER, appuyez sur ALT+FLÈCHE BAS pour ouvrir la liste déroulante, puis sur ENTRÉE pour opérer votre sélection" sqref="M6:M21" xr:uid="{31404BB2-9FCB-4C1E-98DE-4BB5B8F245F6}">
      <formula1>"0%,25%,50%,75%,100%"</formula1>
    </dataValidation>
    <dataValidation type="list" errorStyle="warning" allowBlank="1" showInputMessage="1" showErrorMessage="1" error="Sélectionnez une entrée dans la liste. Sélectionnez ANNULER, appuyez sur ALT+FLÈCHE BAS pour ouvrir la liste déroulante, puis sur ENTRÉE pour opérer votre sélection" sqref="I6:I21" xr:uid="{1DE83313-D0D3-4786-A234-66BDC70EDA96}">
      <formula1>"1,2,3"</formula1>
    </dataValidation>
    <dataValidation allowBlank="1" showInputMessage="1" showErrorMessage="1" prompt="Entrez l’année de cette liste de tâches dans cette cellule" sqref="M1:N1" xr:uid="{C20D9634-3DDA-428B-BDFE-DCC7419F7EA5}"/>
    <dataValidation allowBlank="1" showInputMessage="1" showErrorMessage="1" prompt="Le titre de la feuille de calcul figure dans cette cellule." sqref="C2:H5" xr:uid="{D51A952D-7652-439A-AE5C-DD9E1A97A6BA}"/>
    <dataValidation allowBlank="1" showInputMessage="1" showErrorMessage="1" prompt="Créez une liste de tâches dans cette feuille de calcul. Entrez l’année de cette liste dans la cellule I1." sqref="A1:B1" xr:uid="{5FD80BD4-DB88-4C02-B989-DF61D0D24E99}"/>
    <dataValidation type="list" allowBlank="1" showInputMessage="1" showErrorMessage="1" sqref="D6:F21" xr:uid="{0DD3D420-F9E1-48B3-AF20-BA43C879772E}">
      <formula1>"x"</formula1>
    </dataValidation>
  </dataValidations>
  <hyperlinks>
    <hyperlink ref="H7" r:id="rId1" xr:uid="{36586A0F-1F4A-4839-827F-AE36FA3C0B86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73" fitToHeight="0" orientation="landscape" r:id="rId2"/>
  <headerFooter differentFirst="1">
    <oddFooter>&amp;CPage &amp;P of &amp;N</oddFooter>
    <firstFooter>&amp;CPage &amp;P of &amp;N</firstFooter>
  </headerFooter>
  <drawing r:id="rId3"/>
  <legacyDrawing r:id="rId4"/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5C02FA8-8A36-4314-A272-06BED8066A0B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M6:M21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A9D7A79-0117-49E4-B28F-1520509C15CE}">
          <x14:formula1>
            <xm:f>' '!$A$691:$A$693</xm:f>
          </x14:formula1>
          <xm:sqref>L6:L21</xm:sqref>
        </x14:dataValidation>
        <x14:dataValidation type="list" allowBlank="1" showInputMessage="1" showErrorMessage="1" xr:uid="{360D8D77-DF65-4CD7-865B-753377E846AB}">
          <x14:formula1>
            <xm:f>Projektteam!$D$11:$D$31</xm:f>
          </x14:formula1>
          <xm:sqref>G6:G21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1CC00-B1D9-4AFC-96EF-D20430504A16}">
  <sheetPr codeName="Sheet10">
    <tabColor theme="4" tint="0.59999389629810485"/>
  </sheetPr>
  <dimension ref="A1:P92"/>
  <sheetViews>
    <sheetView showGridLines="0" showRowColHeaders="0" zoomScaleNormal="100" workbookViewId="0">
      <pane ySplit="4" topLeftCell="A5" activePane="bottomLeft" state="frozen"/>
      <selection activeCell="C28" sqref="C28"/>
      <selection pane="bottomLeft" activeCell="C5" sqref="C5"/>
    </sheetView>
  </sheetViews>
  <sheetFormatPr baseColWidth="10" defaultColWidth="11.44140625" defaultRowHeight="13.8" x14ac:dyDescent="0.3"/>
  <cols>
    <col min="1" max="1" width="7" style="70" customWidth="1"/>
    <col min="2" max="2" width="3.109375" style="163" hidden="1" customWidth="1"/>
    <col min="3" max="3" width="4.109375" style="77" customWidth="1"/>
    <col min="4" max="4" width="29.88671875" style="76" customWidth="1"/>
    <col min="5" max="5" width="64.44140625" style="75" customWidth="1"/>
    <col min="6" max="6" width="11.109375" style="75" customWidth="1"/>
    <col min="7" max="7" width="4.5546875" style="76" customWidth="1"/>
    <col min="8" max="8" width="26.88671875" style="70" customWidth="1"/>
    <col min="9" max="26" width="3.88671875" style="70" customWidth="1"/>
    <col min="27" max="16384" width="11.44140625" style="70"/>
  </cols>
  <sheetData>
    <row r="1" spans="1:16" ht="45" customHeight="1" x14ac:dyDescent="0.6">
      <c r="A1" s="737"/>
      <c r="B1" s="713"/>
      <c r="C1" s="752" t="s">
        <v>2013</v>
      </c>
      <c r="D1" s="753"/>
      <c r="E1" s="753"/>
      <c r="F1" s="70"/>
      <c r="G1" s="70"/>
    </row>
    <row r="2" spans="1:16" s="73" customFormat="1" ht="0.9" customHeight="1" x14ac:dyDescent="0.3">
      <c r="B2" s="738"/>
      <c r="C2" s="739"/>
      <c r="D2" s="754"/>
      <c r="E2" s="738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</row>
    <row r="3" spans="1:16" ht="21" customHeight="1" x14ac:dyDescent="0.3">
      <c r="B3" s="740"/>
      <c r="C3" s="741"/>
      <c r="D3" s="755"/>
      <c r="E3" s="740"/>
      <c r="F3" s="70"/>
      <c r="G3" s="70"/>
    </row>
    <row r="4" spans="1:16" s="159" customFormat="1" ht="21" customHeight="1" x14ac:dyDescent="0.3">
      <c r="A4" s="152">
        <f>COUNTA(#REF!)</f>
        <v>1</v>
      </c>
      <c r="B4" s="153"/>
      <c r="C4" s="154" t="str">
        <f ca="1">' '!A348</f>
        <v>No.</v>
      </c>
      <c r="D4" s="756" t="str">
        <f ca="1">' '!A499</f>
        <v>Question</v>
      </c>
      <c r="E4" s="756" t="str">
        <f ca="1">' '!A500</f>
        <v>Réponse</v>
      </c>
      <c r="F4" s="157"/>
      <c r="G4" s="158"/>
    </row>
    <row r="5" spans="1:16" ht="14.4" x14ac:dyDescent="0.3">
      <c r="B5" s="71"/>
      <c r="C5" s="149">
        <v>1</v>
      </c>
      <c r="D5" s="86"/>
      <c r="E5" s="146"/>
      <c r="F5" s="160"/>
      <c r="G5" s="161"/>
      <c r="L5" s="73"/>
    </row>
    <row r="6" spans="1:16" ht="14.4" x14ac:dyDescent="0.3">
      <c r="B6" s="71"/>
      <c r="C6" s="150">
        <v>2</v>
      </c>
      <c r="D6" s="90"/>
      <c r="E6" s="147"/>
      <c r="F6" s="160"/>
      <c r="G6" s="161"/>
      <c r="H6" s="162"/>
      <c r="L6" s="73"/>
    </row>
    <row r="7" spans="1:16" ht="14.4" x14ac:dyDescent="0.3">
      <c r="B7" s="71"/>
      <c r="C7" s="149">
        <v>3</v>
      </c>
      <c r="D7" s="86"/>
      <c r="E7" s="146"/>
      <c r="F7" s="160"/>
      <c r="G7" s="161"/>
      <c r="H7" s="162"/>
      <c r="L7" s="73"/>
    </row>
    <row r="8" spans="1:16" ht="14.4" x14ac:dyDescent="0.3">
      <c r="B8" s="71"/>
      <c r="C8" s="150">
        <v>4</v>
      </c>
      <c r="D8" s="90"/>
      <c r="E8" s="147"/>
      <c r="F8" s="160"/>
      <c r="G8" s="161"/>
      <c r="H8" s="162"/>
      <c r="L8" s="73"/>
    </row>
    <row r="9" spans="1:16" ht="14.4" x14ac:dyDescent="0.3">
      <c r="B9" s="71"/>
      <c r="C9" s="149">
        <v>5</v>
      </c>
      <c r="D9" s="86"/>
      <c r="E9" s="146"/>
      <c r="F9" s="160"/>
      <c r="G9" s="161"/>
      <c r="H9" s="162"/>
      <c r="L9" s="73"/>
    </row>
    <row r="10" spans="1:16" ht="14.4" x14ac:dyDescent="0.3">
      <c r="B10" s="71"/>
      <c r="C10" s="150">
        <v>6</v>
      </c>
      <c r="D10" s="90"/>
      <c r="E10" s="147"/>
      <c r="F10" s="160"/>
      <c r="G10" s="161"/>
      <c r="H10" s="162"/>
      <c r="L10" s="73"/>
    </row>
    <row r="11" spans="1:16" ht="14.4" x14ac:dyDescent="0.3">
      <c r="B11" s="71"/>
      <c r="C11" s="149">
        <v>7</v>
      </c>
      <c r="D11" s="86"/>
      <c r="E11" s="146"/>
      <c r="F11" s="160"/>
      <c r="G11" s="161"/>
      <c r="H11" s="162"/>
      <c r="L11" s="73"/>
    </row>
    <row r="12" spans="1:16" ht="14.4" x14ac:dyDescent="0.3">
      <c r="B12" s="71"/>
      <c r="C12" s="150">
        <v>8</v>
      </c>
      <c r="D12" s="90"/>
      <c r="E12" s="147"/>
      <c r="F12" s="160"/>
      <c r="G12" s="161"/>
      <c r="H12" s="162"/>
      <c r="L12" s="73"/>
    </row>
    <row r="13" spans="1:16" ht="14.4" x14ac:dyDescent="0.3">
      <c r="B13" s="71"/>
      <c r="C13" s="149">
        <v>9</v>
      </c>
      <c r="D13" s="86"/>
      <c r="E13" s="146"/>
      <c r="F13" s="160"/>
      <c r="G13" s="161"/>
      <c r="H13" s="162"/>
      <c r="L13" s="73"/>
    </row>
    <row r="14" spans="1:16" ht="14.4" x14ac:dyDescent="0.3">
      <c r="B14" s="71"/>
      <c r="C14" s="150">
        <v>10</v>
      </c>
      <c r="D14" s="90"/>
      <c r="E14" s="147"/>
      <c r="F14" s="160"/>
      <c r="G14" s="161"/>
      <c r="H14" s="162"/>
      <c r="L14" s="73"/>
    </row>
    <row r="15" spans="1:16" ht="14.4" x14ac:dyDescent="0.3">
      <c r="B15" s="71"/>
      <c r="C15" s="149">
        <v>11</v>
      </c>
      <c r="D15" s="86"/>
      <c r="E15" s="146"/>
      <c r="F15" s="160"/>
      <c r="G15" s="161"/>
      <c r="H15" s="162"/>
      <c r="L15" s="73"/>
    </row>
    <row r="16" spans="1:16" ht="14.4" x14ac:dyDescent="0.3">
      <c r="B16" s="71"/>
      <c r="C16" s="150">
        <v>12</v>
      </c>
      <c r="D16" s="90"/>
      <c r="E16" s="147"/>
      <c r="F16" s="160"/>
      <c r="G16" s="161"/>
      <c r="H16" s="162"/>
      <c r="L16" s="73"/>
    </row>
    <row r="17" spans="3:5" ht="14.4" x14ac:dyDescent="0.3">
      <c r="C17" s="149">
        <v>13</v>
      </c>
      <c r="D17" s="86"/>
      <c r="E17" s="146"/>
    </row>
    <row r="18" spans="3:5" ht="14.4" x14ac:dyDescent="0.3">
      <c r="C18" s="150">
        <v>14</v>
      </c>
      <c r="D18" s="90"/>
      <c r="E18" s="147"/>
    </row>
    <row r="19" spans="3:5" ht="14.4" x14ac:dyDescent="0.3">
      <c r="C19" s="149">
        <v>15</v>
      </c>
      <c r="D19" s="86"/>
      <c r="E19" s="146"/>
    </row>
    <row r="20" spans="3:5" ht="14.4" x14ac:dyDescent="0.3">
      <c r="C20" s="150">
        <v>16</v>
      </c>
      <c r="D20" s="90"/>
      <c r="E20" s="147"/>
    </row>
    <row r="21" spans="3:5" ht="14.4" x14ac:dyDescent="0.3">
      <c r="C21" s="149">
        <v>17</v>
      </c>
      <c r="D21" s="86"/>
      <c r="E21" s="146"/>
    </row>
    <row r="22" spans="3:5" ht="14.4" x14ac:dyDescent="0.3">
      <c r="C22" s="150">
        <v>18</v>
      </c>
      <c r="D22" s="90"/>
      <c r="E22" s="147"/>
    </row>
    <row r="23" spans="3:5" ht="14.4" x14ac:dyDescent="0.3">
      <c r="C23" s="149">
        <v>19</v>
      </c>
      <c r="D23" s="94"/>
      <c r="E23" s="148"/>
    </row>
    <row r="24" spans="3:5" ht="14.4" x14ac:dyDescent="0.3">
      <c r="C24" s="150">
        <v>20</v>
      </c>
      <c r="D24" s="90"/>
      <c r="E24" s="147"/>
    </row>
    <row r="25" spans="3:5" ht="14.4" x14ac:dyDescent="0.3">
      <c r="C25" s="149">
        <v>21</v>
      </c>
      <c r="D25" s="94"/>
      <c r="E25" s="148"/>
    </row>
    <row r="26" spans="3:5" ht="14.4" x14ac:dyDescent="0.3">
      <c r="C26" s="150">
        <v>22</v>
      </c>
      <c r="D26" s="90"/>
      <c r="E26" s="147"/>
    </row>
    <row r="27" spans="3:5" ht="14.4" x14ac:dyDescent="0.3">
      <c r="C27" s="149">
        <v>23</v>
      </c>
      <c r="D27" s="94"/>
      <c r="E27" s="148"/>
    </row>
    <row r="28" spans="3:5" ht="14.4" x14ac:dyDescent="0.3">
      <c r="C28" s="150">
        <v>24</v>
      </c>
      <c r="D28" s="90"/>
      <c r="E28" s="147"/>
    </row>
    <row r="29" spans="3:5" ht="14.4" x14ac:dyDescent="0.3">
      <c r="C29" s="149">
        <v>25</v>
      </c>
      <c r="D29" s="94"/>
      <c r="E29" s="148"/>
    </row>
    <row r="30" spans="3:5" ht="14.4" x14ac:dyDescent="0.3">
      <c r="C30" s="150">
        <v>26</v>
      </c>
      <c r="D30" s="90"/>
      <c r="E30" s="147"/>
    </row>
    <row r="31" spans="3:5" ht="14.4" x14ac:dyDescent="0.3">
      <c r="C31" s="149">
        <v>27</v>
      </c>
      <c r="D31" s="94"/>
      <c r="E31" s="148"/>
    </row>
    <row r="32" spans="3:5" ht="14.4" x14ac:dyDescent="0.3">
      <c r="C32" s="150">
        <v>28</v>
      </c>
      <c r="D32" s="90"/>
      <c r="E32" s="147"/>
    </row>
    <row r="33" spans="3:5" ht="14.4" x14ac:dyDescent="0.3">
      <c r="C33" s="149">
        <v>29</v>
      </c>
      <c r="D33" s="94"/>
      <c r="E33" s="148"/>
    </row>
    <row r="34" spans="3:5" ht="14.4" x14ac:dyDescent="0.3">
      <c r="C34" s="150">
        <v>30</v>
      </c>
      <c r="D34" s="90"/>
      <c r="E34" s="147"/>
    </row>
    <row r="35" spans="3:5" ht="14.4" x14ac:dyDescent="0.3">
      <c r="C35" s="149">
        <v>31</v>
      </c>
      <c r="D35" s="94"/>
      <c r="E35" s="148"/>
    </row>
    <row r="36" spans="3:5" ht="14.4" x14ac:dyDescent="0.3">
      <c r="C36" s="150">
        <v>32</v>
      </c>
      <c r="D36" s="90"/>
      <c r="E36" s="147"/>
    </row>
    <row r="37" spans="3:5" ht="14.4" x14ac:dyDescent="0.3">
      <c r="C37" s="149">
        <v>33</v>
      </c>
      <c r="D37" s="94"/>
      <c r="E37" s="148"/>
    </row>
    <row r="38" spans="3:5" ht="14.4" x14ac:dyDescent="0.3">
      <c r="C38" s="150">
        <v>34</v>
      </c>
      <c r="D38" s="90"/>
      <c r="E38" s="147"/>
    </row>
    <row r="39" spans="3:5" ht="14.4" x14ac:dyDescent="0.3">
      <c r="C39" s="149">
        <v>35</v>
      </c>
      <c r="D39" s="94"/>
      <c r="E39" s="148"/>
    </row>
    <row r="40" spans="3:5" ht="14.4" x14ac:dyDescent="0.3">
      <c r="C40" s="150">
        <v>36</v>
      </c>
      <c r="D40" s="90"/>
      <c r="E40" s="147"/>
    </row>
    <row r="41" spans="3:5" ht="14.4" x14ac:dyDescent="0.3">
      <c r="C41" s="149">
        <v>37</v>
      </c>
      <c r="D41" s="94"/>
      <c r="E41" s="148"/>
    </row>
    <row r="42" spans="3:5" ht="14.4" x14ac:dyDescent="0.3">
      <c r="C42" s="150">
        <v>38</v>
      </c>
      <c r="D42" s="90"/>
      <c r="E42" s="147"/>
    </row>
    <row r="43" spans="3:5" ht="14.4" x14ac:dyDescent="0.3">
      <c r="C43" s="149">
        <v>39</v>
      </c>
      <c r="D43" s="94"/>
      <c r="E43" s="148"/>
    </row>
    <row r="44" spans="3:5" ht="14.4" x14ac:dyDescent="0.3">
      <c r="C44" s="150">
        <v>40</v>
      </c>
      <c r="D44" s="90"/>
      <c r="E44" s="147"/>
    </row>
    <row r="45" spans="3:5" ht="14.4" x14ac:dyDescent="0.3">
      <c r="C45" s="149">
        <v>41</v>
      </c>
      <c r="D45" s="94"/>
      <c r="E45" s="148"/>
    </row>
    <row r="46" spans="3:5" ht="14.4" x14ac:dyDescent="0.3">
      <c r="C46" s="150">
        <v>42</v>
      </c>
      <c r="D46" s="90"/>
      <c r="E46" s="147"/>
    </row>
    <row r="47" spans="3:5" ht="14.4" x14ac:dyDescent="0.3">
      <c r="C47" s="149">
        <v>43</v>
      </c>
      <c r="D47" s="94"/>
      <c r="E47" s="148"/>
    </row>
    <row r="48" spans="3:5" ht="14.4" x14ac:dyDescent="0.3">
      <c r="C48" s="150">
        <v>44</v>
      </c>
      <c r="D48" s="90"/>
      <c r="E48" s="147"/>
    </row>
    <row r="49" spans="3:5" ht="14.4" x14ac:dyDescent="0.3">
      <c r="C49" s="149">
        <v>45</v>
      </c>
      <c r="D49" s="94"/>
      <c r="E49" s="148"/>
    </row>
    <row r="50" spans="3:5" ht="14.4" x14ac:dyDescent="0.3">
      <c r="C50" s="150">
        <v>46</v>
      </c>
      <c r="D50" s="90"/>
      <c r="E50" s="147"/>
    </row>
    <row r="51" spans="3:5" ht="14.4" x14ac:dyDescent="0.3">
      <c r="C51" s="149">
        <v>47</v>
      </c>
      <c r="D51" s="94"/>
      <c r="E51" s="148"/>
    </row>
    <row r="52" spans="3:5" ht="14.4" x14ac:dyDescent="0.3">
      <c r="C52" s="150">
        <v>48</v>
      </c>
      <c r="D52" s="90"/>
      <c r="E52" s="147"/>
    </row>
    <row r="53" spans="3:5" ht="14.4" x14ac:dyDescent="0.3">
      <c r="C53" s="149">
        <v>49</v>
      </c>
      <c r="D53" s="94"/>
      <c r="E53" s="148"/>
    </row>
    <row r="54" spans="3:5" ht="14.4" x14ac:dyDescent="0.3">
      <c r="C54" s="150">
        <v>50</v>
      </c>
      <c r="D54" s="90"/>
      <c r="E54" s="147"/>
    </row>
    <row r="55" spans="3:5" ht="14.4" x14ac:dyDescent="0.3">
      <c r="C55" s="149">
        <v>51</v>
      </c>
      <c r="D55" s="94"/>
      <c r="E55" s="148"/>
    </row>
    <row r="56" spans="3:5" ht="14.4" x14ac:dyDescent="0.3">
      <c r="C56" s="150">
        <v>52</v>
      </c>
      <c r="D56" s="90"/>
      <c r="E56" s="147"/>
    </row>
    <row r="57" spans="3:5" ht="14.4" x14ac:dyDescent="0.3">
      <c r="C57" s="149">
        <v>53</v>
      </c>
      <c r="D57" s="94"/>
      <c r="E57" s="148"/>
    </row>
    <row r="58" spans="3:5" ht="14.4" x14ac:dyDescent="0.3">
      <c r="C58" s="150">
        <v>54</v>
      </c>
      <c r="D58" s="90"/>
      <c r="E58" s="147"/>
    </row>
    <row r="59" spans="3:5" ht="14.4" x14ac:dyDescent="0.3">
      <c r="C59" s="149">
        <v>55</v>
      </c>
      <c r="D59" s="94"/>
      <c r="E59" s="148"/>
    </row>
    <row r="60" spans="3:5" ht="14.4" x14ac:dyDescent="0.3">
      <c r="C60" s="150">
        <v>56</v>
      </c>
      <c r="D60" s="90"/>
      <c r="E60" s="147"/>
    </row>
    <row r="61" spans="3:5" ht="14.4" x14ac:dyDescent="0.3">
      <c r="C61" s="149">
        <v>57</v>
      </c>
      <c r="D61" s="94"/>
      <c r="E61" s="148"/>
    </row>
    <row r="62" spans="3:5" ht="14.4" x14ac:dyDescent="0.3">
      <c r="C62" s="150">
        <v>58</v>
      </c>
      <c r="D62" s="90"/>
      <c r="E62" s="147"/>
    </row>
    <row r="63" spans="3:5" ht="14.4" x14ac:dyDescent="0.3">
      <c r="C63" s="149">
        <v>59</v>
      </c>
      <c r="D63" s="94"/>
      <c r="E63" s="148"/>
    </row>
    <row r="64" spans="3:5" ht="14.4" x14ac:dyDescent="0.3">
      <c r="C64" s="150">
        <v>60</v>
      </c>
      <c r="D64" s="90"/>
      <c r="E64" s="147"/>
    </row>
    <row r="65" spans="3:5" ht="14.4" x14ac:dyDescent="0.3">
      <c r="C65" s="149">
        <v>61</v>
      </c>
      <c r="D65" s="94"/>
      <c r="E65" s="148"/>
    </row>
    <row r="66" spans="3:5" ht="14.4" x14ac:dyDescent="0.3">
      <c r="C66" s="150">
        <v>62</v>
      </c>
      <c r="D66" s="90"/>
      <c r="E66" s="147"/>
    </row>
    <row r="67" spans="3:5" ht="14.4" x14ac:dyDescent="0.3">
      <c r="C67" s="149">
        <v>63</v>
      </c>
      <c r="D67" s="94"/>
      <c r="E67" s="148"/>
    </row>
    <row r="68" spans="3:5" ht="14.4" x14ac:dyDescent="0.3">
      <c r="C68" s="150">
        <v>64</v>
      </c>
      <c r="D68" s="90"/>
      <c r="E68" s="147"/>
    </row>
    <row r="69" spans="3:5" ht="14.4" x14ac:dyDescent="0.3">
      <c r="C69" s="149">
        <v>65</v>
      </c>
      <c r="D69" s="94"/>
      <c r="E69" s="148"/>
    </row>
    <row r="70" spans="3:5" ht="14.4" x14ac:dyDescent="0.3">
      <c r="C70" s="150">
        <v>66</v>
      </c>
      <c r="D70" s="90"/>
      <c r="E70" s="147"/>
    </row>
    <row r="71" spans="3:5" ht="14.4" x14ac:dyDescent="0.3">
      <c r="C71" s="149">
        <v>67</v>
      </c>
      <c r="D71" s="94"/>
      <c r="E71" s="148"/>
    </row>
    <row r="72" spans="3:5" ht="14.4" x14ac:dyDescent="0.3">
      <c r="C72" s="150">
        <v>68</v>
      </c>
      <c r="D72" s="90"/>
      <c r="E72" s="147"/>
    </row>
    <row r="73" spans="3:5" ht="14.4" x14ac:dyDescent="0.3">
      <c r="C73" s="149">
        <v>69</v>
      </c>
      <c r="D73" s="94"/>
      <c r="E73" s="148"/>
    </row>
    <row r="74" spans="3:5" ht="14.4" x14ac:dyDescent="0.3">
      <c r="C74" s="150">
        <v>70</v>
      </c>
      <c r="D74" s="90"/>
      <c r="E74" s="147"/>
    </row>
    <row r="75" spans="3:5" ht="14.4" x14ac:dyDescent="0.3">
      <c r="C75" s="149">
        <v>71</v>
      </c>
      <c r="D75" s="94"/>
      <c r="E75" s="148"/>
    </row>
    <row r="76" spans="3:5" ht="14.4" x14ac:dyDescent="0.3">
      <c r="C76" s="150">
        <v>72</v>
      </c>
      <c r="D76" s="90"/>
      <c r="E76" s="147"/>
    </row>
    <row r="77" spans="3:5" ht="14.4" x14ac:dyDescent="0.3">
      <c r="C77" s="149">
        <v>73</v>
      </c>
      <c r="D77" s="94"/>
      <c r="E77" s="148"/>
    </row>
    <row r="78" spans="3:5" ht="14.4" x14ac:dyDescent="0.3">
      <c r="C78" s="150">
        <v>74</v>
      </c>
      <c r="D78" s="90"/>
      <c r="E78" s="147"/>
    </row>
    <row r="79" spans="3:5" ht="14.4" x14ac:dyDescent="0.3">
      <c r="C79" s="149">
        <v>75</v>
      </c>
      <c r="D79" s="94"/>
      <c r="E79" s="148"/>
    </row>
    <row r="80" spans="3:5" ht="14.4" x14ac:dyDescent="0.3">
      <c r="C80" s="150">
        <v>76</v>
      </c>
      <c r="D80" s="90"/>
      <c r="E80" s="147"/>
    </row>
    <row r="81" spans="3:5" ht="14.4" x14ac:dyDescent="0.3">
      <c r="C81" s="149">
        <v>77</v>
      </c>
      <c r="D81" s="94"/>
      <c r="E81" s="148"/>
    </row>
    <row r="82" spans="3:5" ht="14.4" x14ac:dyDescent="0.3">
      <c r="C82" s="150">
        <v>78</v>
      </c>
      <c r="D82" s="90"/>
      <c r="E82" s="147"/>
    </row>
    <row r="83" spans="3:5" ht="14.4" x14ac:dyDescent="0.3">
      <c r="C83" s="149">
        <v>79</v>
      </c>
      <c r="D83" s="94"/>
      <c r="E83" s="148"/>
    </row>
    <row r="84" spans="3:5" ht="14.4" x14ac:dyDescent="0.3">
      <c r="C84" s="150">
        <v>80</v>
      </c>
      <c r="D84" s="90"/>
      <c r="E84" s="147"/>
    </row>
    <row r="85" spans="3:5" ht="14.4" x14ac:dyDescent="0.3">
      <c r="C85" s="149">
        <v>81</v>
      </c>
      <c r="D85" s="94"/>
      <c r="E85" s="148"/>
    </row>
    <row r="86" spans="3:5" ht="14.4" x14ac:dyDescent="0.3">
      <c r="C86" s="150">
        <v>82</v>
      </c>
      <c r="D86" s="90"/>
      <c r="E86" s="147"/>
    </row>
    <row r="87" spans="3:5" ht="14.4" x14ac:dyDescent="0.3">
      <c r="C87" s="149">
        <v>83</v>
      </c>
      <c r="D87" s="94"/>
      <c r="E87" s="148"/>
    </row>
    <row r="88" spans="3:5" ht="14.4" x14ac:dyDescent="0.3">
      <c r="C88" s="150">
        <v>84</v>
      </c>
      <c r="D88" s="90"/>
      <c r="E88" s="147"/>
    </row>
    <row r="89" spans="3:5" ht="14.4" x14ac:dyDescent="0.3">
      <c r="C89" s="149">
        <v>85</v>
      </c>
      <c r="D89" s="94"/>
      <c r="E89" s="148"/>
    </row>
    <row r="90" spans="3:5" ht="14.4" x14ac:dyDescent="0.3">
      <c r="C90" s="150">
        <v>86</v>
      </c>
      <c r="D90" s="90"/>
      <c r="E90" s="147"/>
    </row>
    <row r="91" spans="3:5" ht="14.4" x14ac:dyDescent="0.3">
      <c r="C91" s="149">
        <v>87</v>
      </c>
      <c r="D91" s="94"/>
      <c r="E91" s="148"/>
    </row>
    <row r="92" spans="3:5" x14ac:dyDescent="0.3">
      <c r="C92" s="520" t="s">
        <v>1705</v>
      </c>
    </row>
  </sheetData>
  <sheetProtection sheet="1" objects="1" scenarios="1" formatCells="0" formatColumns="0" formatRows="0" insertHyperlinks="0" selectLockedCells="1" sort="0" autoFilter="0"/>
  <pageMargins left="0.31496062992125984" right="0.31496062992125984" top="0.15748031496062992" bottom="0.55118110236220474" header="0.31496062992125984" footer="0.31496062992125984"/>
  <pageSetup paperSize="9" fitToWidth="4" fitToHeight="4" orientation="portrait" horizontalDpi="1200" verticalDpi="1200" r:id="rId1"/>
  <headerFooter>
    <oddFooter>&amp;L&amp;10&amp;K01+049&amp;D&amp;R&amp;10&amp;K01+032&amp;P/&amp;N</oddFooter>
  </headerFooter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Tabelle65">
    <tabColor theme="3" tint="0.59999389629810485"/>
  </sheetPr>
  <dimension ref="A1:IQ80"/>
  <sheetViews>
    <sheetView showGridLines="0" showRowColHeaders="0" zoomScaleNormal="100" workbookViewId="0">
      <pane ySplit="3" topLeftCell="A4" activePane="bottomLeft" state="frozen"/>
      <selection activeCell="C28" sqref="C28"/>
      <selection pane="bottomLeft"/>
    </sheetView>
  </sheetViews>
  <sheetFormatPr baseColWidth="10" defaultColWidth="12.5546875" defaultRowHeight="13.8" x14ac:dyDescent="0.3"/>
  <cols>
    <col min="1" max="2" width="0.88671875" style="764" customWidth="1"/>
    <col min="3" max="3" width="1.44140625" style="764" customWidth="1"/>
    <col min="4" max="4" width="2.88671875" style="764" bestFit="1" customWidth="1"/>
    <col min="5" max="11" width="1.44140625" style="764" customWidth="1"/>
    <col min="12" max="12" width="0.109375" style="764" customWidth="1"/>
    <col min="13" max="44" width="1.44140625" style="764" customWidth="1"/>
    <col min="45" max="45" width="0.109375" style="764" customWidth="1"/>
    <col min="46" max="57" width="1.44140625" style="764" customWidth="1"/>
    <col min="58" max="58" width="2.109375" style="764" customWidth="1"/>
    <col min="59" max="60" width="1.44140625" style="764" customWidth="1"/>
    <col min="61" max="61" width="0.109375" style="764" customWidth="1"/>
    <col min="62" max="76" width="1.44140625" style="764" customWidth="1"/>
    <col min="77" max="77" width="0.109375" style="764" customWidth="1"/>
    <col min="78" max="112" width="1.44140625" style="764" customWidth="1"/>
    <col min="113" max="113" width="2.109375" style="764" customWidth="1"/>
    <col min="114" max="114" width="1.44140625" style="766" customWidth="1"/>
    <col min="115" max="117" width="2.109375" style="766" customWidth="1"/>
    <col min="118" max="196" width="12.5546875" style="766"/>
    <col min="197" max="16384" width="12.5546875" style="764"/>
  </cols>
  <sheetData>
    <row r="1" spans="1:251" s="757" customFormat="1" ht="45" customHeight="1" x14ac:dyDescent="0.6">
      <c r="B1" s="758"/>
      <c r="C1" s="759"/>
      <c r="D1" s="760"/>
      <c r="E1" s="759"/>
      <c r="F1" s="761" t="str">
        <f ca="1">' '!A200</f>
        <v>B U D G E T</v>
      </c>
      <c r="G1" s="759"/>
      <c r="H1" s="759"/>
      <c r="I1" s="759"/>
      <c r="J1" s="759"/>
      <c r="K1" s="759"/>
      <c r="L1" s="759"/>
      <c r="M1" s="759"/>
      <c r="N1" s="759"/>
      <c r="O1" s="759"/>
      <c r="P1" s="759"/>
      <c r="Q1" s="759"/>
      <c r="R1" s="759"/>
      <c r="S1" s="759"/>
      <c r="T1" s="759"/>
      <c r="U1" s="759"/>
      <c r="V1" s="759"/>
      <c r="W1" s="759"/>
      <c r="X1" s="759"/>
      <c r="Y1" s="761" t="str">
        <f>"("&amp;Projektauftrag!D5&amp;")"</f>
        <v>(Projet xy)</v>
      </c>
      <c r="Z1" s="759"/>
      <c r="AA1" s="759"/>
      <c r="AB1" s="759"/>
      <c r="AD1" s="759"/>
      <c r="AE1" s="759"/>
      <c r="AF1" s="759"/>
      <c r="AG1" s="759"/>
      <c r="AH1" s="759"/>
      <c r="AI1" s="759"/>
      <c r="AJ1" s="759"/>
      <c r="AK1" s="759"/>
      <c r="AL1" s="759"/>
      <c r="AM1" s="759"/>
      <c r="AN1" s="759"/>
      <c r="AO1" s="759"/>
      <c r="AP1" s="759"/>
      <c r="AQ1" s="759"/>
      <c r="AR1" s="759"/>
      <c r="AS1" s="759"/>
      <c r="AT1" s="759"/>
      <c r="AU1" s="759"/>
      <c r="AV1" s="759"/>
      <c r="AW1" s="759"/>
      <c r="AX1" s="759"/>
      <c r="AY1" s="759"/>
      <c r="AZ1" s="759"/>
      <c r="BA1" s="759"/>
      <c r="BB1" s="759"/>
      <c r="BC1" s="759"/>
      <c r="BD1" s="759"/>
      <c r="BE1" s="759"/>
      <c r="BF1" s="759"/>
      <c r="BG1" s="759"/>
      <c r="BH1" s="759"/>
      <c r="BI1" s="759"/>
      <c r="BJ1" s="759"/>
      <c r="BK1" s="759"/>
      <c r="BL1" s="759"/>
      <c r="BM1" s="759"/>
      <c r="BN1" s="759"/>
      <c r="BO1" s="759"/>
      <c r="BP1" s="759"/>
      <c r="BQ1" s="759"/>
      <c r="BR1" s="759"/>
      <c r="BS1" s="759"/>
      <c r="BT1" s="759"/>
      <c r="BU1" s="759"/>
      <c r="BV1" s="759"/>
      <c r="BW1" s="759"/>
      <c r="BX1" s="759"/>
      <c r="BY1" s="759"/>
      <c r="BZ1" s="759"/>
      <c r="CA1" s="759"/>
      <c r="CB1" s="759"/>
      <c r="CC1" s="759"/>
      <c r="CD1" s="759"/>
      <c r="CE1" s="759"/>
      <c r="CF1" s="759"/>
      <c r="CG1" s="759"/>
      <c r="CH1" s="759"/>
      <c r="CI1" s="759"/>
      <c r="CJ1" s="759"/>
      <c r="CK1" s="759"/>
      <c r="CL1" s="759"/>
      <c r="CM1" s="759"/>
      <c r="CN1" s="759"/>
      <c r="CO1" s="759"/>
      <c r="CP1" s="759"/>
      <c r="CQ1" s="759"/>
      <c r="CR1" s="759"/>
      <c r="CS1" s="759"/>
      <c r="CT1" s="759"/>
      <c r="CU1" s="759"/>
      <c r="CV1" s="759"/>
      <c r="CW1" s="759"/>
      <c r="CX1" s="759"/>
      <c r="CY1" s="759"/>
      <c r="CZ1" s="759"/>
      <c r="DA1" s="759"/>
      <c r="DB1" s="759"/>
      <c r="DC1" s="759"/>
      <c r="DD1" s="759"/>
      <c r="DE1" s="759"/>
      <c r="DF1" s="759"/>
      <c r="DG1" s="759"/>
      <c r="DH1" s="759"/>
      <c r="DI1" s="392"/>
      <c r="DJ1" s="762"/>
      <c r="DK1" s="762"/>
      <c r="DL1" s="762"/>
      <c r="DM1" s="762"/>
      <c r="DN1" s="762"/>
      <c r="DO1" s="762"/>
      <c r="DP1" s="762"/>
      <c r="DQ1" s="762"/>
      <c r="DR1" s="762"/>
      <c r="DS1" s="762"/>
      <c r="DT1" s="762"/>
      <c r="DU1" s="762"/>
      <c r="DV1" s="762"/>
      <c r="DW1" s="762"/>
      <c r="DX1" s="762"/>
      <c r="DY1" s="762"/>
      <c r="DZ1" s="762"/>
      <c r="EA1" s="762"/>
      <c r="EB1" s="762"/>
      <c r="EC1" s="762"/>
      <c r="ED1" s="762"/>
      <c r="EE1" s="762"/>
      <c r="EF1" s="762"/>
      <c r="EG1" s="762"/>
      <c r="EH1" s="762"/>
      <c r="EI1" s="762"/>
      <c r="EJ1" s="762"/>
      <c r="EK1" s="762"/>
      <c r="EL1" s="762"/>
      <c r="EM1" s="762"/>
      <c r="EN1" s="762"/>
      <c r="EO1" s="762"/>
      <c r="EP1" s="762"/>
      <c r="EQ1" s="762"/>
      <c r="ER1" s="762"/>
      <c r="ES1" s="762"/>
      <c r="ET1" s="762"/>
      <c r="EU1" s="762"/>
      <c r="EV1" s="762"/>
      <c r="EW1" s="762"/>
      <c r="EX1" s="762"/>
      <c r="EY1" s="762"/>
      <c r="EZ1" s="762"/>
      <c r="FA1" s="762"/>
      <c r="FB1" s="762"/>
      <c r="FC1" s="762"/>
      <c r="FD1" s="762"/>
      <c r="FE1" s="762"/>
      <c r="FF1" s="762"/>
      <c r="FG1" s="762"/>
      <c r="FH1" s="762"/>
      <c r="FI1" s="762"/>
      <c r="FJ1" s="762"/>
      <c r="FK1" s="762"/>
      <c r="FL1" s="762"/>
      <c r="FM1" s="762"/>
      <c r="FN1" s="762"/>
      <c r="FO1" s="762"/>
      <c r="FP1" s="762"/>
      <c r="FQ1" s="762"/>
      <c r="FR1" s="762"/>
      <c r="FS1" s="762"/>
      <c r="FT1" s="762"/>
      <c r="FU1" s="762"/>
      <c r="FV1" s="762"/>
      <c r="FW1" s="762"/>
      <c r="FX1" s="762"/>
      <c r="FY1" s="762"/>
      <c r="FZ1" s="762"/>
      <c r="GA1" s="762"/>
      <c r="GB1" s="762"/>
      <c r="GC1" s="762"/>
      <c r="GD1" s="762"/>
      <c r="GE1" s="762"/>
      <c r="GF1" s="762"/>
      <c r="GG1" s="762"/>
      <c r="GH1" s="762"/>
      <c r="GI1" s="762"/>
      <c r="GJ1" s="762"/>
      <c r="GK1" s="762"/>
      <c r="GL1" s="762"/>
      <c r="GM1" s="762"/>
      <c r="GN1" s="762"/>
      <c r="GO1" s="758"/>
      <c r="GP1" s="758"/>
      <c r="GQ1" s="758"/>
      <c r="GR1" s="758"/>
      <c r="GS1" s="758"/>
      <c r="GT1" s="758"/>
      <c r="GU1" s="758"/>
      <c r="GV1" s="758"/>
    </row>
    <row r="2" spans="1:251" s="763" customFormat="1" ht="14.25" customHeight="1" x14ac:dyDescent="0.3">
      <c r="B2" s="764"/>
      <c r="G2" s="401"/>
      <c r="AI2" s="765"/>
      <c r="DJ2" s="766"/>
      <c r="DK2" s="766"/>
      <c r="DL2" s="766"/>
      <c r="DM2" s="766"/>
      <c r="DN2" s="766"/>
      <c r="DO2" s="766"/>
      <c r="DP2" s="766"/>
      <c r="DQ2" s="766"/>
      <c r="DR2" s="766"/>
      <c r="DS2" s="766"/>
      <c r="DT2" s="766"/>
      <c r="DU2" s="766"/>
      <c r="DV2" s="766"/>
      <c r="DW2" s="766"/>
      <c r="DX2" s="766"/>
      <c r="DY2" s="766"/>
      <c r="DZ2" s="766"/>
      <c r="EA2" s="766"/>
      <c r="EB2" s="766"/>
      <c r="EC2" s="766"/>
      <c r="ED2" s="766"/>
      <c r="EE2" s="766"/>
      <c r="EF2" s="766"/>
      <c r="EG2" s="766"/>
      <c r="EH2" s="766"/>
      <c r="EI2" s="766"/>
      <c r="EJ2" s="766"/>
      <c r="EK2" s="766"/>
      <c r="EL2" s="766"/>
      <c r="EM2" s="766"/>
      <c r="EN2" s="766"/>
      <c r="EO2" s="766"/>
      <c r="EP2" s="766"/>
      <c r="EQ2" s="766"/>
      <c r="ER2" s="766"/>
      <c r="ES2" s="766"/>
      <c r="ET2" s="766"/>
      <c r="EU2" s="766"/>
      <c r="EV2" s="766"/>
      <c r="EW2" s="766"/>
      <c r="EX2" s="766"/>
      <c r="EY2" s="766"/>
      <c r="EZ2" s="766"/>
      <c r="FA2" s="766"/>
      <c r="FB2" s="766"/>
      <c r="FC2" s="766"/>
      <c r="FD2" s="766"/>
      <c r="FE2" s="766"/>
      <c r="FF2" s="766"/>
      <c r="FG2" s="766"/>
      <c r="FH2" s="766"/>
      <c r="FI2" s="766"/>
      <c r="FJ2" s="766"/>
      <c r="FK2" s="766"/>
      <c r="FL2" s="766"/>
      <c r="FM2" s="766"/>
      <c r="FN2" s="766"/>
      <c r="FO2" s="766"/>
      <c r="FP2" s="766"/>
      <c r="FQ2" s="766"/>
      <c r="FR2" s="766"/>
      <c r="FS2" s="766"/>
      <c r="FT2" s="766"/>
      <c r="FU2" s="766"/>
      <c r="FV2" s="766"/>
      <c r="FW2" s="766"/>
      <c r="FX2" s="766"/>
      <c r="FY2" s="766"/>
      <c r="FZ2" s="766"/>
      <c r="GA2" s="766"/>
      <c r="GB2" s="766"/>
      <c r="GC2" s="766"/>
      <c r="GD2" s="766"/>
      <c r="GE2" s="766"/>
      <c r="GF2" s="766"/>
      <c r="GG2" s="766"/>
      <c r="GH2" s="766"/>
      <c r="GI2" s="766"/>
      <c r="GJ2" s="766"/>
      <c r="GK2" s="766"/>
      <c r="GL2" s="766"/>
      <c r="GM2" s="766"/>
      <c r="GN2" s="766"/>
    </row>
    <row r="3" spans="1:251" s="769" customFormat="1" ht="18" customHeight="1" thickBot="1" x14ac:dyDescent="0.35">
      <c r="A3" s="767" t="s">
        <v>217</v>
      </c>
      <c r="B3" s="764"/>
      <c r="C3" s="764"/>
      <c r="D3" s="764"/>
      <c r="E3" s="764"/>
      <c r="F3" s="764"/>
      <c r="G3" s="764"/>
      <c r="H3" s="764"/>
      <c r="I3" s="764"/>
      <c r="J3" s="764"/>
      <c r="K3" s="764"/>
      <c r="L3" s="764"/>
      <c r="M3" s="764"/>
      <c r="N3" s="764"/>
      <c r="O3" s="764"/>
      <c r="P3" s="764"/>
      <c r="Q3" s="764"/>
      <c r="R3" s="764"/>
      <c r="S3" s="764"/>
      <c r="T3" s="764"/>
      <c r="U3" s="764"/>
      <c r="V3" s="764"/>
      <c r="W3" s="764"/>
      <c r="X3" s="764"/>
      <c r="Y3" s="764"/>
      <c r="Z3" s="764"/>
      <c r="AA3" s="764"/>
      <c r="AB3" s="764"/>
      <c r="AC3" s="764"/>
      <c r="AD3" s="764"/>
      <c r="AE3" s="764"/>
      <c r="AF3" s="764"/>
      <c r="AG3" s="764"/>
      <c r="AH3" s="764"/>
      <c r="AI3" s="768"/>
      <c r="AJ3" s="764"/>
      <c r="AK3" s="764"/>
      <c r="AL3" s="764"/>
      <c r="AM3" s="764"/>
      <c r="AN3" s="764"/>
      <c r="AO3" s="764"/>
      <c r="AP3" s="764"/>
      <c r="AQ3" s="764"/>
      <c r="AR3" s="764"/>
      <c r="AS3" s="764"/>
      <c r="AT3" s="764"/>
      <c r="AU3" s="764"/>
      <c r="AV3" s="764"/>
      <c r="AW3" s="764"/>
      <c r="AX3" s="764"/>
      <c r="AY3" s="764"/>
      <c r="AZ3" s="764"/>
      <c r="BA3" s="764"/>
      <c r="BB3" s="764"/>
      <c r="BC3" s="764"/>
      <c r="BD3" s="764"/>
      <c r="BE3" s="764"/>
      <c r="BF3" s="764"/>
      <c r="BG3" s="764"/>
      <c r="BH3" s="764"/>
      <c r="BI3" s="764"/>
      <c r="BJ3" s="764"/>
      <c r="BK3" s="764"/>
      <c r="BL3" s="764"/>
      <c r="BM3" s="764"/>
      <c r="BN3" s="764"/>
      <c r="BO3" s="764"/>
      <c r="BP3" s="764"/>
      <c r="BQ3" s="764"/>
      <c r="BR3" s="764"/>
      <c r="BS3" s="764"/>
      <c r="BT3" s="764"/>
      <c r="BU3" s="764"/>
      <c r="BV3" s="764"/>
      <c r="BW3" s="764"/>
      <c r="BX3" s="764"/>
      <c r="BY3" s="764"/>
      <c r="BZ3" s="764"/>
      <c r="CA3" s="764"/>
      <c r="CB3" s="764"/>
      <c r="CC3" s="764"/>
      <c r="CD3" s="764"/>
      <c r="CE3" s="764"/>
      <c r="CF3" s="764"/>
      <c r="CG3" s="764"/>
      <c r="CH3" s="764"/>
      <c r="CI3" s="764"/>
      <c r="CJ3" s="764"/>
      <c r="CK3" s="764"/>
      <c r="CL3" s="764"/>
      <c r="CM3" s="764"/>
      <c r="CN3" s="764"/>
      <c r="CO3" s="764"/>
      <c r="CP3" s="764"/>
      <c r="CQ3" s="764"/>
      <c r="CR3" s="764"/>
      <c r="CS3" s="764"/>
      <c r="CT3" s="764"/>
      <c r="CU3" s="764"/>
      <c r="CV3" s="764"/>
      <c r="CW3" s="764"/>
      <c r="CX3" s="764"/>
      <c r="CY3" s="764"/>
      <c r="CZ3" s="764"/>
      <c r="DA3" s="764"/>
      <c r="DB3" s="764"/>
      <c r="DC3" s="764"/>
      <c r="DD3" s="764"/>
      <c r="DE3" s="764"/>
      <c r="DF3" s="764"/>
      <c r="DG3" s="764"/>
      <c r="DH3" s="764"/>
      <c r="DI3" s="764"/>
      <c r="DJ3" s="766"/>
      <c r="DK3" s="766"/>
      <c r="DL3" s="766"/>
      <c r="DM3" s="766"/>
      <c r="DN3" s="766"/>
      <c r="DO3" s="766"/>
      <c r="DP3" s="766"/>
      <c r="DQ3" s="766"/>
      <c r="DR3" s="766"/>
      <c r="DS3" s="766"/>
      <c r="DT3" s="766"/>
      <c r="DU3" s="766"/>
      <c r="DV3" s="766"/>
      <c r="DW3" s="766"/>
      <c r="DX3" s="766"/>
      <c r="DY3" s="766"/>
      <c r="DZ3" s="766"/>
      <c r="EA3" s="766"/>
      <c r="EB3" s="766"/>
      <c r="EC3" s="766"/>
      <c r="ED3" s="766"/>
      <c r="EE3" s="766"/>
      <c r="EF3" s="766"/>
      <c r="EG3" s="766"/>
      <c r="EH3" s="766"/>
      <c r="EI3" s="766"/>
      <c r="EJ3" s="766"/>
      <c r="EK3" s="766"/>
      <c r="EL3" s="766"/>
      <c r="EM3" s="766"/>
      <c r="EN3" s="766"/>
      <c r="EO3" s="766"/>
      <c r="EP3" s="766"/>
      <c r="EQ3" s="766"/>
      <c r="ER3" s="766"/>
      <c r="ES3" s="766"/>
      <c r="ET3" s="766"/>
      <c r="EU3" s="766"/>
      <c r="EV3" s="766"/>
      <c r="EW3" s="766"/>
      <c r="EX3" s="766"/>
      <c r="EY3" s="766"/>
      <c r="EZ3" s="766"/>
      <c r="FA3" s="766"/>
      <c r="FB3" s="766"/>
      <c r="FC3" s="766"/>
      <c r="FD3" s="766"/>
      <c r="FE3" s="766"/>
      <c r="FF3" s="766"/>
      <c r="FG3" s="766"/>
      <c r="FH3" s="766"/>
      <c r="FI3" s="766"/>
      <c r="FJ3" s="766"/>
      <c r="FK3" s="766"/>
      <c r="FL3" s="766"/>
      <c r="FM3" s="766"/>
      <c r="FN3" s="766"/>
      <c r="FO3" s="766"/>
      <c r="FP3" s="766"/>
      <c r="FQ3" s="766"/>
      <c r="FR3" s="766"/>
      <c r="FS3" s="766"/>
      <c r="FT3" s="766"/>
      <c r="FU3" s="766"/>
      <c r="FV3" s="766"/>
      <c r="FW3" s="766"/>
      <c r="FX3" s="766"/>
      <c r="FY3" s="766"/>
      <c r="FZ3" s="766"/>
      <c r="GA3" s="766"/>
      <c r="GB3" s="766"/>
      <c r="GC3" s="766"/>
      <c r="GD3" s="766"/>
      <c r="GE3" s="766"/>
      <c r="GF3" s="766"/>
      <c r="GG3" s="766"/>
      <c r="GH3" s="766"/>
      <c r="GI3" s="766"/>
      <c r="GJ3" s="766"/>
      <c r="GK3" s="766"/>
      <c r="GL3" s="766"/>
      <c r="GM3" s="766"/>
      <c r="GN3" s="766"/>
      <c r="GO3" s="764"/>
      <c r="GP3" s="764"/>
      <c r="GQ3" s="764"/>
      <c r="GR3" s="764"/>
      <c r="GS3" s="764"/>
      <c r="GT3" s="764"/>
      <c r="GU3" s="764"/>
      <c r="GV3" s="764"/>
      <c r="GW3" s="764"/>
      <c r="GX3" s="764"/>
      <c r="GY3" s="764"/>
      <c r="GZ3" s="764"/>
      <c r="HA3" s="764"/>
      <c r="HB3" s="764"/>
      <c r="HC3" s="764"/>
      <c r="HD3" s="764"/>
      <c r="HE3" s="764"/>
      <c r="HF3" s="764"/>
      <c r="HG3" s="764"/>
      <c r="HH3" s="764"/>
      <c r="HI3" s="764"/>
      <c r="HJ3" s="764"/>
      <c r="HK3" s="764"/>
      <c r="HL3" s="764"/>
      <c r="HM3" s="764"/>
      <c r="HN3" s="764"/>
      <c r="HO3" s="764"/>
      <c r="HP3" s="764"/>
      <c r="HQ3" s="764"/>
      <c r="HR3" s="764"/>
      <c r="HS3" s="764"/>
      <c r="HT3" s="764"/>
      <c r="HU3" s="764"/>
      <c r="HV3" s="764"/>
      <c r="HW3" s="764"/>
      <c r="HX3" s="764"/>
      <c r="HY3" s="764"/>
      <c r="HZ3" s="764"/>
      <c r="IA3" s="764"/>
      <c r="IB3" s="764"/>
      <c r="IC3" s="764"/>
      <c r="ID3" s="764"/>
      <c r="IE3" s="764"/>
      <c r="IF3" s="764"/>
      <c r="IG3" s="764"/>
      <c r="IH3" s="764"/>
      <c r="II3" s="764"/>
      <c r="IJ3" s="764"/>
      <c r="IK3" s="764"/>
      <c r="IL3" s="764"/>
      <c r="IM3" s="764"/>
      <c r="IN3" s="764"/>
      <c r="IO3" s="764"/>
      <c r="IP3" s="764"/>
      <c r="IQ3" s="764"/>
    </row>
    <row r="4" spans="1:251" s="773" customFormat="1" ht="11.25" customHeight="1" x14ac:dyDescent="0.3">
      <c r="A4" s="763"/>
      <c r="B4" s="764"/>
      <c r="C4" s="770"/>
      <c r="D4" s="771"/>
      <c r="E4" s="771"/>
      <c r="F4" s="771"/>
      <c r="G4" s="771"/>
      <c r="H4" s="771"/>
      <c r="I4" s="771"/>
      <c r="J4" s="771"/>
      <c r="K4" s="771"/>
      <c r="L4" s="771"/>
      <c r="M4" s="771"/>
      <c r="N4" s="771"/>
      <c r="O4" s="771"/>
      <c r="P4" s="771"/>
      <c r="Q4" s="771"/>
      <c r="R4" s="771"/>
      <c r="S4" s="771"/>
      <c r="T4" s="771"/>
      <c r="U4" s="771"/>
      <c r="V4" s="771"/>
      <c r="W4" s="771"/>
      <c r="X4" s="771"/>
      <c r="Y4" s="771"/>
      <c r="Z4" s="771"/>
      <c r="AA4" s="771"/>
      <c r="AB4" s="771"/>
      <c r="AC4" s="771"/>
      <c r="AD4" s="771"/>
      <c r="AE4" s="771"/>
      <c r="AF4" s="771"/>
      <c r="AG4" s="771"/>
      <c r="AH4" s="771"/>
      <c r="AI4" s="771"/>
      <c r="AJ4" s="771"/>
      <c r="AK4" s="771"/>
      <c r="AL4" s="771"/>
      <c r="AM4" s="771"/>
      <c r="AN4" s="771"/>
      <c r="AO4" s="771"/>
      <c r="AP4" s="771"/>
      <c r="AQ4" s="771"/>
      <c r="AR4" s="771"/>
      <c r="AS4" s="771"/>
      <c r="AT4" s="771"/>
      <c r="AU4" s="771"/>
      <c r="AV4" s="771"/>
      <c r="AW4" s="771"/>
      <c r="AX4" s="771"/>
      <c r="AY4" s="771"/>
      <c r="AZ4" s="771"/>
      <c r="BA4" s="771"/>
      <c r="BB4" s="771"/>
      <c r="BC4" s="771"/>
      <c r="BD4" s="771"/>
      <c r="BE4" s="771"/>
      <c r="BF4" s="771"/>
      <c r="BG4" s="771"/>
      <c r="BH4" s="771"/>
      <c r="BI4" s="771"/>
      <c r="BJ4" s="771"/>
      <c r="BK4" s="771"/>
      <c r="BL4" s="771"/>
      <c r="BM4" s="771"/>
      <c r="BN4" s="771"/>
      <c r="BO4" s="771"/>
      <c r="BP4" s="771"/>
      <c r="BQ4" s="771"/>
      <c r="BR4" s="771"/>
      <c r="BS4" s="771"/>
      <c r="BT4" s="771"/>
      <c r="BU4" s="771"/>
      <c r="BV4" s="771"/>
      <c r="BW4" s="771"/>
      <c r="BX4" s="771"/>
      <c r="BY4" s="771"/>
      <c r="BZ4" s="771"/>
      <c r="CA4" s="771"/>
      <c r="CB4" s="771"/>
      <c r="CC4" s="771"/>
      <c r="CD4" s="771"/>
      <c r="CE4" s="771"/>
      <c r="CF4" s="771"/>
      <c r="CG4" s="771"/>
      <c r="CH4" s="771"/>
      <c r="CI4" s="771"/>
      <c r="CJ4" s="771"/>
      <c r="CK4" s="771"/>
      <c r="CL4" s="771"/>
      <c r="CM4" s="771"/>
      <c r="CN4" s="771"/>
      <c r="CO4" s="771"/>
      <c r="CP4" s="771"/>
      <c r="CQ4" s="771"/>
      <c r="CR4" s="771"/>
      <c r="CS4" s="771"/>
      <c r="CT4" s="771"/>
      <c r="CU4" s="771"/>
      <c r="CV4" s="771"/>
      <c r="CW4" s="771"/>
      <c r="CX4" s="771"/>
      <c r="CY4" s="771"/>
      <c r="CZ4" s="771"/>
      <c r="DA4" s="771"/>
      <c r="DB4" s="771"/>
      <c r="DC4" s="771"/>
      <c r="DD4" s="771"/>
      <c r="DE4" s="771"/>
      <c r="DF4" s="771"/>
      <c r="DG4" s="771"/>
      <c r="DH4" s="771"/>
      <c r="DI4" s="771"/>
      <c r="DJ4" s="772"/>
      <c r="DK4" s="766"/>
      <c r="DL4" s="766"/>
      <c r="DM4" s="766"/>
      <c r="DN4" s="766"/>
      <c r="DO4" s="766"/>
      <c r="DP4" s="766"/>
      <c r="DQ4" s="766"/>
      <c r="DR4" s="766"/>
      <c r="DS4" s="766"/>
      <c r="DT4" s="766"/>
      <c r="DU4" s="766"/>
      <c r="DV4" s="766"/>
      <c r="DW4" s="766"/>
      <c r="DX4" s="766"/>
      <c r="DY4" s="766"/>
      <c r="DZ4" s="766"/>
      <c r="EA4" s="766"/>
      <c r="EB4" s="766"/>
      <c r="EC4" s="766"/>
      <c r="ED4" s="766"/>
      <c r="EE4" s="766"/>
      <c r="EF4" s="766"/>
      <c r="EG4" s="766"/>
      <c r="EH4" s="766"/>
      <c r="EI4" s="766"/>
      <c r="EJ4" s="766"/>
      <c r="EK4" s="766"/>
      <c r="EL4" s="766"/>
      <c r="EM4" s="766"/>
      <c r="EN4" s="766"/>
      <c r="EO4" s="766"/>
      <c r="EP4" s="766"/>
      <c r="EQ4" s="766"/>
      <c r="ER4" s="766"/>
      <c r="ES4" s="766"/>
      <c r="ET4" s="766"/>
      <c r="EU4" s="766"/>
      <c r="EV4" s="766"/>
      <c r="EW4" s="766"/>
      <c r="EX4" s="766"/>
      <c r="EY4" s="766"/>
      <c r="EZ4" s="766"/>
      <c r="FA4" s="766"/>
      <c r="FB4" s="766"/>
      <c r="FC4" s="766"/>
      <c r="FD4" s="766"/>
      <c r="FE4" s="766"/>
      <c r="FF4" s="766"/>
      <c r="FG4" s="766"/>
      <c r="FH4" s="766"/>
      <c r="FI4" s="766"/>
      <c r="FJ4" s="766"/>
      <c r="FK4" s="766"/>
      <c r="FL4" s="766"/>
      <c r="FM4" s="766"/>
      <c r="FN4" s="766"/>
      <c r="FO4" s="766"/>
      <c r="FP4" s="766"/>
      <c r="FQ4" s="766"/>
      <c r="FR4" s="766"/>
      <c r="FS4" s="766"/>
      <c r="FT4" s="766"/>
      <c r="FU4" s="766"/>
      <c r="FV4" s="766"/>
      <c r="FW4" s="766"/>
      <c r="FX4" s="766"/>
      <c r="FY4" s="766"/>
      <c r="FZ4" s="766"/>
      <c r="GA4" s="766"/>
      <c r="GB4" s="766"/>
      <c r="GC4" s="766"/>
      <c r="GD4" s="766"/>
      <c r="GE4" s="766"/>
      <c r="GF4" s="766"/>
      <c r="GG4" s="766"/>
      <c r="GH4" s="766"/>
      <c r="GI4" s="766"/>
      <c r="GJ4" s="766"/>
      <c r="GK4" s="766"/>
      <c r="GL4" s="766"/>
      <c r="GM4" s="766"/>
      <c r="GN4" s="766"/>
      <c r="GO4" s="763"/>
      <c r="GP4" s="763"/>
      <c r="GQ4" s="763"/>
      <c r="GR4" s="763"/>
      <c r="GS4" s="763"/>
      <c r="GT4" s="763"/>
      <c r="GU4" s="763"/>
      <c r="GV4" s="763"/>
      <c r="GW4" s="763"/>
      <c r="GX4" s="763"/>
      <c r="GY4" s="763"/>
      <c r="GZ4" s="763"/>
      <c r="HA4" s="763"/>
      <c r="HB4" s="763"/>
      <c r="HC4" s="763"/>
      <c r="HD4" s="763"/>
      <c r="HE4" s="763"/>
      <c r="HF4" s="763"/>
      <c r="HG4" s="763"/>
      <c r="HH4" s="763"/>
      <c r="HI4" s="763"/>
      <c r="HJ4" s="763"/>
      <c r="HK4" s="763"/>
      <c r="HL4" s="763"/>
      <c r="HM4" s="763"/>
      <c r="HN4" s="763"/>
      <c r="HO4" s="763"/>
      <c r="HP4" s="763"/>
      <c r="HQ4" s="763"/>
      <c r="HR4" s="763"/>
      <c r="HS4" s="763"/>
      <c r="HT4" s="763"/>
      <c r="HU4" s="763"/>
      <c r="HV4" s="763"/>
      <c r="HW4" s="763"/>
      <c r="HX4" s="763"/>
      <c r="HY4" s="763"/>
      <c r="HZ4" s="763"/>
      <c r="IA4" s="763"/>
      <c r="IB4" s="763"/>
      <c r="IC4" s="763"/>
      <c r="ID4" s="763"/>
      <c r="IE4" s="763"/>
      <c r="IF4" s="763"/>
      <c r="IG4" s="763"/>
      <c r="IH4" s="763"/>
      <c r="II4" s="763"/>
      <c r="IJ4" s="763"/>
      <c r="IK4" s="763"/>
      <c r="IL4" s="763"/>
      <c r="IM4" s="763"/>
      <c r="IN4" s="763"/>
      <c r="IO4" s="763"/>
      <c r="IP4" s="763"/>
      <c r="IQ4" s="763"/>
    </row>
    <row r="5" spans="1:251" ht="24.75" customHeight="1" x14ac:dyDescent="0.3">
      <c r="A5" s="774"/>
      <c r="C5" s="772"/>
      <c r="D5" s="775"/>
      <c r="E5" s="1097" t="str">
        <f ca="1">' '!A201</f>
        <v>Ressources internes</v>
      </c>
      <c r="F5" s="1097"/>
      <c r="G5" s="1097"/>
      <c r="H5" s="1097"/>
      <c r="I5" s="1097"/>
      <c r="J5" s="1097"/>
      <c r="K5" s="1097"/>
      <c r="L5" s="1097"/>
      <c r="M5" s="1097"/>
      <c r="N5" s="1097"/>
      <c r="O5" s="1097"/>
      <c r="P5" s="1097"/>
      <c r="Q5" s="1097"/>
      <c r="R5" s="1097"/>
      <c r="S5" s="1097"/>
      <c r="T5" s="1097"/>
      <c r="U5" s="1097"/>
      <c r="V5" s="1097"/>
      <c r="W5" s="1097"/>
      <c r="X5" s="1097"/>
      <c r="Y5" s="1097"/>
      <c r="Z5" s="1097"/>
      <c r="AA5" s="1097"/>
      <c r="AB5" s="1097"/>
      <c r="AC5" s="1097"/>
      <c r="AD5" s="1097"/>
      <c r="AE5" s="1097"/>
      <c r="AF5" s="1097"/>
      <c r="AG5" s="1097"/>
      <c r="AH5" s="1097"/>
      <c r="AI5" s="1097"/>
      <c r="AJ5" s="1097"/>
      <c r="AK5" s="1097"/>
      <c r="AL5" s="1097"/>
      <c r="AM5" s="1097"/>
      <c r="AN5" s="1097"/>
      <c r="AO5" s="1097"/>
      <c r="AP5" s="1097"/>
      <c r="AQ5" s="776"/>
      <c r="AR5" s="777"/>
      <c r="AS5" s="777"/>
      <c r="AT5" s="1098" t="str">
        <f ca="1">IF(Projektteam!$BM$3=TRUE,' '!A217&amp;" ["&amp;Logo!D13&amp;"]",' '!A217&amp;" [h]")</f>
        <v>Plan [CHF]</v>
      </c>
      <c r="AU5" s="1098"/>
      <c r="AV5" s="1098"/>
      <c r="AW5" s="1098"/>
      <c r="AX5" s="1098"/>
      <c r="AY5" s="1098"/>
      <c r="AZ5" s="1098"/>
      <c r="BA5" s="1098"/>
      <c r="BB5" s="1098"/>
      <c r="BC5" s="1098"/>
      <c r="BD5" s="1098"/>
      <c r="BE5" s="1098"/>
      <c r="BF5" s="1098"/>
      <c r="BG5" s="778"/>
      <c r="BH5" s="779"/>
      <c r="BI5" s="779"/>
      <c r="BJ5" s="1098" t="str">
        <f ca="1">IF(Projektteam!$BM$3=TRUE,' '!A218&amp;" ["&amp;Logo!D13&amp;"]",' '!A218&amp;" [h]")</f>
        <v>Réel [CHF]</v>
      </c>
      <c r="BK5" s="1098"/>
      <c r="BL5" s="1098"/>
      <c r="BM5" s="1098"/>
      <c r="BN5" s="1098"/>
      <c r="BO5" s="1098"/>
      <c r="BP5" s="1098"/>
      <c r="BQ5" s="1098"/>
      <c r="BR5" s="1098"/>
      <c r="BS5" s="1098"/>
      <c r="BT5" s="1098"/>
      <c r="BU5" s="1098"/>
      <c r="BV5" s="1098"/>
      <c r="BW5" s="778"/>
      <c r="BX5" s="779"/>
      <c r="BY5" s="779"/>
      <c r="BZ5" s="1098" t="str">
        <f ca="1">IF(Projektteam!$BM$3=TRUE,' '!A219&amp;" ["&amp;Logo!D13&amp;"]",' '!A219&amp;" [h]")</f>
        <v>Solde [CHF]</v>
      </c>
      <c r="CA5" s="1098"/>
      <c r="CB5" s="1098"/>
      <c r="CC5" s="1098"/>
      <c r="CD5" s="1098"/>
      <c r="CE5" s="1098"/>
      <c r="CF5" s="1098"/>
      <c r="CG5" s="1098"/>
      <c r="CH5" s="1098"/>
      <c r="CI5" s="1098"/>
      <c r="CJ5" s="1098"/>
      <c r="CK5" s="1098"/>
      <c r="CL5" s="1098"/>
      <c r="CM5" s="780"/>
      <c r="CN5" s="781"/>
      <c r="CO5" s="1099" t="str">
        <f ca="1">' '!A206</f>
        <v>Remarques</v>
      </c>
      <c r="CP5" s="1099"/>
      <c r="CQ5" s="1099"/>
      <c r="CR5" s="1099"/>
      <c r="CS5" s="1099"/>
      <c r="CT5" s="1099"/>
      <c r="CU5" s="1099"/>
      <c r="CV5" s="1099"/>
      <c r="CW5" s="1099"/>
      <c r="CX5" s="1099"/>
      <c r="CY5" s="1099"/>
      <c r="CZ5" s="1099"/>
      <c r="DA5" s="1099"/>
      <c r="DB5" s="1099"/>
      <c r="DC5" s="1099"/>
      <c r="DD5" s="1099"/>
      <c r="DE5" s="1099"/>
      <c r="DF5" s="1099"/>
      <c r="DG5" s="1099"/>
      <c r="DH5" s="1099"/>
      <c r="DJ5" s="772"/>
    </row>
    <row r="6" spans="1:251" ht="7.5" customHeight="1" x14ac:dyDescent="0.3">
      <c r="A6" s="774"/>
      <c r="C6" s="772"/>
      <c r="D6" s="775"/>
      <c r="E6" s="782"/>
      <c r="F6" s="782"/>
      <c r="G6" s="782"/>
      <c r="H6" s="782"/>
      <c r="I6" s="782"/>
      <c r="J6" s="782"/>
      <c r="K6" s="782"/>
      <c r="L6" s="782"/>
      <c r="M6" s="782"/>
      <c r="N6" s="782"/>
      <c r="O6" s="782"/>
      <c r="P6" s="782"/>
      <c r="Q6" s="782"/>
      <c r="R6" s="782"/>
      <c r="S6" s="782"/>
      <c r="T6" s="782"/>
      <c r="U6" s="782"/>
      <c r="V6" s="782"/>
      <c r="W6" s="782"/>
      <c r="X6" s="782"/>
      <c r="Y6" s="782"/>
      <c r="Z6" s="782"/>
      <c r="AA6" s="782"/>
      <c r="AB6" s="782"/>
      <c r="AC6" s="782"/>
      <c r="AD6" s="782"/>
      <c r="AE6" s="782"/>
      <c r="AF6" s="782"/>
      <c r="AG6" s="782"/>
      <c r="AH6" s="782"/>
      <c r="AI6" s="782"/>
      <c r="AJ6" s="782"/>
      <c r="AK6" s="782"/>
      <c r="AL6" s="782"/>
      <c r="AM6" s="782"/>
      <c r="AN6" s="782"/>
      <c r="AO6" s="782"/>
      <c r="AP6" s="782"/>
      <c r="AQ6" s="782"/>
      <c r="AR6" s="782"/>
      <c r="AS6" s="782"/>
      <c r="AT6" s="782"/>
      <c r="AU6" s="782"/>
      <c r="AV6" s="782"/>
      <c r="AW6" s="782"/>
      <c r="AX6" s="782"/>
      <c r="AY6" s="782"/>
      <c r="AZ6" s="782"/>
      <c r="BA6" s="782"/>
      <c r="BB6" s="782"/>
      <c r="BC6" s="782"/>
      <c r="BD6" s="782"/>
      <c r="BE6" s="782"/>
      <c r="BF6" s="782"/>
      <c r="BG6" s="782"/>
      <c r="BH6" s="782"/>
      <c r="BI6" s="782"/>
      <c r="BJ6" s="782"/>
      <c r="BK6" s="782"/>
      <c r="BL6" s="782"/>
      <c r="BM6" s="782"/>
      <c r="BN6" s="782"/>
      <c r="BO6" s="782"/>
      <c r="BP6" s="782"/>
      <c r="BQ6" s="782"/>
      <c r="BR6" s="782"/>
      <c r="BS6" s="782"/>
      <c r="BT6" s="782"/>
      <c r="BU6" s="782"/>
      <c r="BV6" s="782"/>
      <c r="BW6" s="782"/>
      <c r="BX6" s="782"/>
      <c r="BY6" s="782"/>
      <c r="BZ6" s="782"/>
      <c r="CA6" s="782"/>
      <c r="CB6" s="782"/>
      <c r="CC6" s="782"/>
      <c r="CD6" s="782"/>
      <c r="CE6" s="782"/>
      <c r="CF6" s="782"/>
      <c r="CG6" s="782"/>
      <c r="CH6" s="782"/>
      <c r="CI6" s="782"/>
      <c r="CJ6" s="782"/>
      <c r="CK6" s="782"/>
      <c r="CL6" s="782"/>
      <c r="CM6" s="782"/>
      <c r="CN6" s="782"/>
      <c r="CO6" s="782"/>
      <c r="CP6" s="782"/>
      <c r="CQ6" s="782"/>
      <c r="CR6" s="782"/>
      <c r="CS6" s="782"/>
      <c r="CT6" s="782"/>
      <c r="CU6" s="782"/>
      <c r="CV6" s="782"/>
      <c r="CW6" s="782"/>
      <c r="CX6" s="782"/>
      <c r="CY6" s="782"/>
      <c r="CZ6" s="782"/>
      <c r="DA6" s="782"/>
      <c r="DB6" s="782"/>
      <c r="DC6" s="782"/>
      <c r="DD6" s="782"/>
      <c r="DE6" s="782"/>
      <c r="DF6" s="782"/>
      <c r="DG6" s="782"/>
      <c r="DH6" s="782"/>
      <c r="DI6" s="763"/>
      <c r="DJ6" s="772"/>
      <c r="GO6" s="763"/>
      <c r="GP6" s="763"/>
      <c r="GQ6" s="763"/>
      <c r="GR6" s="763"/>
      <c r="GS6" s="763"/>
      <c r="GT6" s="763"/>
      <c r="GU6" s="763"/>
      <c r="GV6" s="763"/>
      <c r="GW6" s="763"/>
      <c r="GX6" s="763"/>
      <c r="GY6" s="763"/>
      <c r="GZ6" s="763"/>
      <c r="HA6" s="763"/>
      <c r="HB6" s="763"/>
      <c r="HC6" s="763"/>
      <c r="HD6" s="763"/>
      <c r="HE6" s="763"/>
      <c r="HF6" s="763"/>
      <c r="HG6" s="763"/>
      <c r="HH6" s="763"/>
      <c r="HI6" s="763"/>
      <c r="HJ6" s="763"/>
      <c r="HK6" s="763"/>
      <c r="HL6" s="763"/>
      <c r="HM6" s="763"/>
      <c r="HN6" s="763"/>
      <c r="HO6" s="763"/>
      <c r="HP6" s="763"/>
      <c r="HQ6" s="763"/>
      <c r="HR6" s="763"/>
      <c r="HS6" s="763"/>
      <c r="HT6" s="763"/>
      <c r="HU6" s="763"/>
      <c r="HV6" s="763"/>
      <c r="HW6" s="763"/>
      <c r="HX6" s="763"/>
      <c r="HY6" s="763"/>
      <c r="HZ6" s="763"/>
      <c r="IA6" s="763"/>
      <c r="IB6" s="763"/>
      <c r="IC6" s="763"/>
      <c r="ID6" s="763"/>
      <c r="IE6" s="763"/>
      <c r="IF6" s="763"/>
      <c r="IG6" s="763"/>
      <c r="IH6" s="763"/>
      <c r="II6" s="763"/>
      <c r="IJ6" s="763"/>
      <c r="IK6" s="763"/>
      <c r="IL6" s="763"/>
      <c r="IM6" s="763"/>
      <c r="IN6" s="763"/>
      <c r="IO6" s="763"/>
      <c r="IP6" s="763"/>
      <c r="IQ6" s="763"/>
    </row>
    <row r="7" spans="1:251" ht="18.75" customHeight="1" x14ac:dyDescent="0.3">
      <c r="A7" s="774"/>
      <c r="C7" s="772"/>
      <c r="D7" s="783">
        <v>1</v>
      </c>
      <c r="E7" s="1111" t="str">
        <f ca="1">' '!A214</f>
        <v>Charges de personnel (internes)</v>
      </c>
      <c r="F7" s="1112"/>
      <c r="G7" s="1112"/>
      <c r="H7" s="1112"/>
      <c r="I7" s="1112"/>
      <c r="J7" s="1112"/>
      <c r="K7" s="1112"/>
      <c r="L7" s="1112"/>
      <c r="M7" s="1112"/>
      <c r="N7" s="1112"/>
      <c r="O7" s="1112"/>
      <c r="P7" s="1112"/>
      <c r="Q7" s="1112"/>
      <c r="R7" s="1112"/>
      <c r="S7" s="1112"/>
      <c r="T7" s="1112"/>
      <c r="U7" s="1112"/>
      <c r="V7" s="1112"/>
      <c r="W7" s="1112"/>
      <c r="X7" s="1112"/>
      <c r="Y7" s="1112"/>
      <c r="Z7" s="1112"/>
      <c r="AA7" s="1112"/>
      <c r="AB7" s="1112"/>
      <c r="AC7" s="1112"/>
      <c r="AD7" s="1112"/>
      <c r="AE7" s="1112"/>
      <c r="AF7" s="1112"/>
      <c r="AG7" s="1112"/>
      <c r="AH7" s="1112"/>
      <c r="AI7" s="1112"/>
      <c r="AJ7" s="1112"/>
      <c r="AK7" s="1112"/>
      <c r="AL7" s="1112"/>
      <c r="AM7" s="1112"/>
      <c r="AN7" s="1112"/>
      <c r="AO7" s="1112"/>
      <c r="AP7" s="1112"/>
      <c r="AQ7" s="784"/>
      <c r="AR7" s="785"/>
      <c r="AS7" s="785"/>
      <c r="AT7" s="1087">
        <f>Projektteam!AG32</f>
        <v>640</v>
      </c>
      <c r="AU7" s="1088"/>
      <c r="AV7" s="1088"/>
      <c r="AW7" s="1088"/>
      <c r="AX7" s="1088"/>
      <c r="AY7" s="1088"/>
      <c r="AZ7" s="1088"/>
      <c r="BA7" s="1088"/>
      <c r="BB7" s="1088"/>
      <c r="BC7" s="1088"/>
      <c r="BD7" s="1088"/>
      <c r="BE7" s="1088"/>
      <c r="BF7" s="1088"/>
      <c r="BG7" s="786"/>
      <c r="BH7" s="787"/>
      <c r="BI7" s="787"/>
      <c r="BJ7" s="1087">
        <f>Projektteam!AL32</f>
        <v>0</v>
      </c>
      <c r="BK7" s="1088"/>
      <c r="BL7" s="1088"/>
      <c r="BM7" s="1088"/>
      <c r="BN7" s="1088"/>
      <c r="BO7" s="1088"/>
      <c r="BP7" s="1088"/>
      <c r="BQ7" s="1088"/>
      <c r="BR7" s="1088"/>
      <c r="BS7" s="1088"/>
      <c r="BT7" s="1088"/>
      <c r="BU7" s="1088"/>
      <c r="BV7" s="1088"/>
      <c r="BW7" s="786"/>
      <c r="BX7" s="787"/>
      <c r="BY7" s="787"/>
      <c r="BZ7" s="1087">
        <f t="shared" ref="BZ7:BZ24" si="0">AT7-BJ7</f>
        <v>640</v>
      </c>
      <c r="CA7" s="1088"/>
      <c r="CB7" s="1088"/>
      <c r="CC7" s="1088"/>
      <c r="CD7" s="1088"/>
      <c r="CE7" s="1088"/>
      <c r="CF7" s="1088"/>
      <c r="CG7" s="1088"/>
      <c r="CH7" s="1088"/>
      <c r="CI7" s="1088"/>
      <c r="CJ7" s="1088"/>
      <c r="CK7" s="1088"/>
      <c r="CL7" s="1088"/>
      <c r="CM7" s="784"/>
      <c r="CN7" s="785"/>
      <c r="CO7" s="1103" t="str">
        <f ca="1">' '!A74</f>
        <v>voir détail "équipe de projet"</v>
      </c>
      <c r="CP7" s="1103"/>
      <c r="CQ7" s="1103"/>
      <c r="CR7" s="1103"/>
      <c r="CS7" s="1103"/>
      <c r="CT7" s="1103"/>
      <c r="CU7" s="1103"/>
      <c r="CV7" s="1103"/>
      <c r="CW7" s="1103"/>
      <c r="CX7" s="1103"/>
      <c r="CY7" s="1103"/>
      <c r="CZ7" s="1103"/>
      <c r="DA7" s="1103"/>
      <c r="DB7" s="1103"/>
      <c r="DC7" s="1103"/>
      <c r="DD7" s="1103"/>
      <c r="DE7" s="1103"/>
      <c r="DF7" s="1103"/>
      <c r="DG7" s="1103"/>
      <c r="DH7" s="1103"/>
      <c r="DJ7" s="772"/>
    </row>
    <row r="8" spans="1:251" ht="18.75" customHeight="1" x14ac:dyDescent="0.3">
      <c r="A8" s="774"/>
      <c r="C8" s="772"/>
      <c r="D8" s="783">
        <v>2</v>
      </c>
      <c r="E8" s="1109"/>
      <c r="F8" s="1110"/>
      <c r="G8" s="1110"/>
      <c r="H8" s="1110"/>
      <c r="I8" s="1110"/>
      <c r="J8" s="1110"/>
      <c r="K8" s="1110"/>
      <c r="L8" s="1110"/>
      <c r="M8" s="1110"/>
      <c r="N8" s="1110"/>
      <c r="O8" s="1110"/>
      <c r="P8" s="1110"/>
      <c r="Q8" s="1110"/>
      <c r="R8" s="1110"/>
      <c r="S8" s="1110"/>
      <c r="T8" s="1110"/>
      <c r="U8" s="1110"/>
      <c r="V8" s="1110"/>
      <c r="W8" s="1110"/>
      <c r="X8" s="1110"/>
      <c r="Y8" s="1110"/>
      <c r="Z8" s="1110"/>
      <c r="AA8" s="1110"/>
      <c r="AB8" s="1110"/>
      <c r="AC8" s="1110"/>
      <c r="AD8" s="1110"/>
      <c r="AE8" s="1110"/>
      <c r="AF8" s="1110"/>
      <c r="AG8" s="1110"/>
      <c r="AH8" s="1110"/>
      <c r="AI8" s="1110"/>
      <c r="AJ8" s="1110"/>
      <c r="AK8" s="1110"/>
      <c r="AL8" s="1110"/>
      <c r="AM8" s="1110"/>
      <c r="AN8" s="1110"/>
      <c r="AO8" s="1110"/>
      <c r="AP8" s="1110"/>
      <c r="AQ8" s="784"/>
      <c r="AR8" s="785"/>
      <c r="AS8" s="785"/>
      <c r="AT8" s="1085">
        <v>0</v>
      </c>
      <c r="AU8" s="1086"/>
      <c r="AV8" s="1086"/>
      <c r="AW8" s="1086"/>
      <c r="AX8" s="1086"/>
      <c r="AY8" s="1086"/>
      <c r="AZ8" s="1086"/>
      <c r="BA8" s="1086"/>
      <c r="BB8" s="1086"/>
      <c r="BC8" s="1086"/>
      <c r="BD8" s="1086"/>
      <c r="BE8" s="1086"/>
      <c r="BF8" s="1086"/>
      <c r="BG8" s="786"/>
      <c r="BH8" s="787"/>
      <c r="BI8" s="787"/>
      <c r="BJ8" s="1085">
        <v>0</v>
      </c>
      <c r="BK8" s="1086"/>
      <c r="BL8" s="1086"/>
      <c r="BM8" s="1086"/>
      <c r="BN8" s="1086"/>
      <c r="BO8" s="1086"/>
      <c r="BP8" s="1086"/>
      <c r="BQ8" s="1086"/>
      <c r="BR8" s="1086"/>
      <c r="BS8" s="1086"/>
      <c r="BT8" s="1086"/>
      <c r="BU8" s="1086"/>
      <c r="BV8" s="1086"/>
      <c r="BW8" s="786"/>
      <c r="BX8" s="787"/>
      <c r="BY8" s="787"/>
      <c r="BZ8" s="1087">
        <f t="shared" si="0"/>
        <v>0</v>
      </c>
      <c r="CA8" s="1088"/>
      <c r="CB8" s="1088"/>
      <c r="CC8" s="1088"/>
      <c r="CD8" s="1088"/>
      <c r="CE8" s="1088"/>
      <c r="CF8" s="1088"/>
      <c r="CG8" s="1088"/>
      <c r="CH8" s="1088"/>
      <c r="CI8" s="1088"/>
      <c r="CJ8" s="1088"/>
      <c r="CK8" s="1088"/>
      <c r="CL8" s="1088"/>
      <c r="CM8" s="784"/>
      <c r="CN8" s="785"/>
      <c r="CO8" s="1089"/>
      <c r="CP8" s="1090"/>
      <c r="CQ8" s="1090"/>
      <c r="CR8" s="1090"/>
      <c r="CS8" s="1090"/>
      <c r="CT8" s="1090"/>
      <c r="CU8" s="1090"/>
      <c r="CV8" s="1090"/>
      <c r="CW8" s="1090"/>
      <c r="CX8" s="1090"/>
      <c r="CY8" s="1090"/>
      <c r="CZ8" s="1090"/>
      <c r="DA8" s="1090"/>
      <c r="DB8" s="1090"/>
      <c r="DC8" s="1090"/>
      <c r="DD8" s="1090"/>
      <c r="DE8" s="1090"/>
      <c r="DF8" s="1090"/>
      <c r="DG8" s="1090"/>
      <c r="DH8" s="1090"/>
      <c r="DJ8" s="772"/>
    </row>
    <row r="9" spans="1:251" ht="18.75" customHeight="1" x14ac:dyDescent="0.3">
      <c r="A9" s="774"/>
      <c r="C9" s="772"/>
      <c r="D9" s="783">
        <v>3</v>
      </c>
      <c r="E9" s="1109"/>
      <c r="F9" s="1110"/>
      <c r="G9" s="1110"/>
      <c r="H9" s="1110"/>
      <c r="I9" s="1110"/>
      <c r="J9" s="1110"/>
      <c r="K9" s="1110"/>
      <c r="L9" s="1110"/>
      <c r="M9" s="1110"/>
      <c r="N9" s="1110"/>
      <c r="O9" s="1110"/>
      <c r="P9" s="1110"/>
      <c r="Q9" s="1110"/>
      <c r="R9" s="1110"/>
      <c r="S9" s="1110"/>
      <c r="T9" s="1110"/>
      <c r="U9" s="1110"/>
      <c r="V9" s="1110"/>
      <c r="W9" s="1110"/>
      <c r="X9" s="1110"/>
      <c r="Y9" s="1110"/>
      <c r="Z9" s="1110"/>
      <c r="AA9" s="1110"/>
      <c r="AB9" s="1110"/>
      <c r="AC9" s="1110"/>
      <c r="AD9" s="1110"/>
      <c r="AE9" s="1110"/>
      <c r="AF9" s="1110"/>
      <c r="AG9" s="1110"/>
      <c r="AH9" s="1110"/>
      <c r="AI9" s="1110"/>
      <c r="AJ9" s="1110"/>
      <c r="AK9" s="1110"/>
      <c r="AL9" s="1110"/>
      <c r="AM9" s="1110"/>
      <c r="AN9" s="1110"/>
      <c r="AO9" s="1110"/>
      <c r="AP9" s="1110"/>
      <c r="AQ9" s="784"/>
      <c r="AR9" s="785"/>
      <c r="AS9" s="785"/>
      <c r="AT9" s="1085">
        <v>0</v>
      </c>
      <c r="AU9" s="1086"/>
      <c r="AV9" s="1086"/>
      <c r="AW9" s="1086"/>
      <c r="AX9" s="1086"/>
      <c r="AY9" s="1086"/>
      <c r="AZ9" s="1086"/>
      <c r="BA9" s="1086"/>
      <c r="BB9" s="1086"/>
      <c r="BC9" s="1086"/>
      <c r="BD9" s="1086"/>
      <c r="BE9" s="1086"/>
      <c r="BF9" s="1086"/>
      <c r="BG9" s="786"/>
      <c r="BH9" s="787"/>
      <c r="BI9" s="787"/>
      <c r="BJ9" s="1085">
        <v>0</v>
      </c>
      <c r="BK9" s="1086"/>
      <c r="BL9" s="1086"/>
      <c r="BM9" s="1086"/>
      <c r="BN9" s="1086"/>
      <c r="BO9" s="1086"/>
      <c r="BP9" s="1086"/>
      <c r="BQ9" s="1086"/>
      <c r="BR9" s="1086"/>
      <c r="BS9" s="1086"/>
      <c r="BT9" s="1086"/>
      <c r="BU9" s="1086"/>
      <c r="BV9" s="1086"/>
      <c r="BW9" s="786"/>
      <c r="BX9" s="787"/>
      <c r="BY9" s="787"/>
      <c r="BZ9" s="1087">
        <f t="shared" si="0"/>
        <v>0</v>
      </c>
      <c r="CA9" s="1088"/>
      <c r="CB9" s="1088"/>
      <c r="CC9" s="1088"/>
      <c r="CD9" s="1088"/>
      <c r="CE9" s="1088"/>
      <c r="CF9" s="1088"/>
      <c r="CG9" s="1088"/>
      <c r="CH9" s="1088"/>
      <c r="CI9" s="1088"/>
      <c r="CJ9" s="1088"/>
      <c r="CK9" s="1088"/>
      <c r="CL9" s="1088"/>
      <c r="CM9" s="784"/>
      <c r="CN9" s="785"/>
      <c r="CO9" s="1089"/>
      <c r="CP9" s="1090"/>
      <c r="CQ9" s="1090"/>
      <c r="CR9" s="1090"/>
      <c r="CS9" s="1090"/>
      <c r="CT9" s="1090"/>
      <c r="CU9" s="1090"/>
      <c r="CV9" s="1090"/>
      <c r="CW9" s="1090"/>
      <c r="CX9" s="1090"/>
      <c r="CY9" s="1090"/>
      <c r="CZ9" s="1090"/>
      <c r="DA9" s="1090"/>
      <c r="DB9" s="1090"/>
      <c r="DC9" s="1090"/>
      <c r="DD9" s="1090"/>
      <c r="DE9" s="1090"/>
      <c r="DF9" s="1090"/>
      <c r="DG9" s="1090"/>
      <c r="DH9" s="1090"/>
      <c r="DJ9" s="772"/>
    </row>
    <row r="10" spans="1:251" ht="18.75" customHeight="1" x14ac:dyDescent="0.3">
      <c r="A10" s="774"/>
      <c r="C10" s="772"/>
      <c r="D10" s="783">
        <v>4</v>
      </c>
      <c r="E10" s="1109"/>
      <c r="F10" s="1110"/>
      <c r="G10" s="1110"/>
      <c r="H10" s="1110"/>
      <c r="I10" s="1110"/>
      <c r="J10" s="1110"/>
      <c r="K10" s="1110"/>
      <c r="L10" s="1110"/>
      <c r="M10" s="1110"/>
      <c r="N10" s="1110"/>
      <c r="O10" s="1110"/>
      <c r="P10" s="1110"/>
      <c r="Q10" s="1110"/>
      <c r="R10" s="1110"/>
      <c r="S10" s="1110"/>
      <c r="T10" s="1110"/>
      <c r="U10" s="1110"/>
      <c r="V10" s="1110"/>
      <c r="W10" s="1110"/>
      <c r="X10" s="1110"/>
      <c r="Y10" s="1110"/>
      <c r="Z10" s="1110"/>
      <c r="AA10" s="1110"/>
      <c r="AB10" s="1110"/>
      <c r="AC10" s="1110"/>
      <c r="AD10" s="1110"/>
      <c r="AE10" s="1110"/>
      <c r="AF10" s="1110"/>
      <c r="AG10" s="1110"/>
      <c r="AH10" s="1110"/>
      <c r="AI10" s="1110"/>
      <c r="AJ10" s="1110"/>
      <c r="AK10" s="1110"/>
      <c r="AL10" s="1110"/>
      <c r="AM10" s="1110"/>
      <c r="AN10" s="1110"/>
      <c r="AO10" s="1110"/>
      <c r="AP10" s="1110"/>
      <c r="AQ10" s="784"/>
      <c r="AR10" s="785"/>
      <c r="AS10" s="785"/>
      <c r="AT10" s="1085">
        <v>0</v>
      </c>
      <c r="AU10" s="1086"/>
      <c r="AV10" s="1086"/>
      <c r="AW10" s="1086"/>
      <c r="AX10" s="1086"/>
      <c r="AY10" s="1086"/>
      <c r="AZ10" s="1086"/>
      <c r="BA10" s="1086"/>
      <c r="BB10" s="1086"/>
      <c r="BC10" s="1086"/>
      <c r="BD10" s="1086"/>
      <c r="BE10" s="1086"/>
      <c r="BF10" s="1086"/>
      <c r="BG10" s="786"/>
      <c r="BH10" s="787"/>
      <c r="BI10" s="787"/>
      <c r="BJ10" s="1085">
        <v>0</v>
      </c>
      <c r="BK10" s="1086"/>
      <c r="BL10" s="1086"/>
      <c r="BM10" s="1086"/>
      <c r="BN10" s="1086"/>
      <c r="BO10" s="1086"/>
      <c r="BP10" s="1086"/>
      <c r="BQ10" s="1086"/>
      <c r="BR10" s="1086"/>
      <c r="BS10" s="1086"/>
      <c r="BT10" s="1086"/>
      <c r="BU10" s="1086"/>
      <c r="BV10" s="1086"/>
      <c r="BW10" s="786"/>
      <c r="BX10" s="787"/>
      <c r="BY10" s="787"/>
      <c r="BZ10" s="1087">
        <f t="shared" si="0"/>
        <v>0</v>
      </c>
      <c r="CA10" s="1088"/>
      <c r="CB10" s="1088"/>
      <c r="CC10" s="1088"/>
      <c r="CD10" s="1088"/>
      <c r="CE10" s="1088"/>
      <c r="CF10" s="1088"/>
      <c r="CG10" s="1088"/>
      <c r="CH10" s="1088"/>
      <c r="CI10" s="1088"/>
      <c r="CJ10" s="1088"/>
      <c r="CK10" s="1088"/>
      <c r="CL10" s="1088"/>
      <c r="CM10" s="784"/>
      <c r="CN10" s="785"/>
      <c r="CO10" s="1089"/>
      <c r="CP10" s="1090"/>
      <c r="CQ10" s="1090"/>
      <c r="CR10" s="1090"/>
      <c r="CS10" s="1090"/>
      <c r="CT10" s="1090"/>
      <c r="CU10" s="1090"/>
      <c r="CV10" s="1090"/>
      <c r="CW10" s="1090"/>
      <c r="CX10" s="1090"/>
      <c r="CY10" s="1090"/>
      <c r="CZ10" s="1090"/>
      <c r="DA10" s="1090"/>
      <c r="DB10" s="1090"/>
      <c r="DC10" s="1090"/>
      <c r="DD10" s="1090"/>
      <c r="DE10" s="1090"/>
      <c r="DF10" s="1090"/>
      <c r="DG10" s="1090"/>
      <c r="DH10" s="1090"/>
      <c r="DJ10" s="772"/>
    </row>
    <row r="11" spans="1:251" ht="18.75" customHeight="1" x14ac:dyDescent="0.3">
      <c r="A11" s="774"/>
      <c r="C11" s="772"/>
      <c r="D11" s="783">
        <v>5</v>
      </c>
      <c r="E11" s="1109"/>
      <c r="F11" s="1110"/>
      <c r="G11" s="1110"/>
      <c r="H11" s="1110"/>
      <c r="I11" s="1110"/>
      <c r="J11" s="1110"/>
      <c r="K11" s="1110"/>
      <c r="L11" s="1110"/>
      <c r="M11" s="1110"/>
      <c r="N11" s="1110"/>
      <c r="O11" s="1110"/>
      <c r="P11" s="1110"/>
      <c r="Q11" s="1110"/>
      <c r="R11" s="1110"/>
      <c r="S11" s="1110"/>
      <c r="T11" s="1110"/>
      <c r="U11" s="1110"/>
      <c r="V11" s="1110"/>
      <c r="W11" s="1110"/>
      <c r="X11" s="1110"/>
      <c r="Y11" s="1110"/>
      <c r="Z11" s="1110"/>
      <c r="AA11" s="1110"/>
      <c r="AB11" s="1110"/>
      <c r="AC11" s="1110"/>
      <c r="AD11" s="1110"/>
      <c r="AE11" s="1110"/>
      <c r="AF11" s="1110"/>
      <c r="AG11" s="1110"/>
      <c r="AH11" s="1110"/>
      <c r="AI11" s="1110"/>
      <c r="AJ11" s="1110"/>
      <c r="AK11" s="1110"/>
      <c r="AL11" s="1110"/>
      <c r="AM11" s="1110"/>
      <c r="AN11" s="1110"/>
      <c r="AO11" s="1110"/>
      <c r="AP11" s="1110"/>
      <c r="AQ11" s="784"/>
      <c r="AR11" s="785"/>
      <c r="AS11" s="785"/>
      <c r="AT11" s="1085">
        <v>0</v>
      </c>
      <c r="AU11" s="1086"/>
      <c r="AV11" s="1086"/>
      <c r="AW11" s="1086"/>
      <c r="AX11" s="1086"/>
      <c r="AY11" s="1086"/>
      <c r="AZ11" s="1086"/>
      <c r="BA11" s="1086"/>
      <c r="BB11" s="1086"/>
      <c r="BC11" s="1086"/>
      <c r="BD11" s="1086"/>
      <c r="BE11" s="1086"/>
      <c r="BF11" s="1086"/>
      <c r="BG11" s="786"/>
      <c r="BH11" s="787"/>
      <c r="BI11" s="787"/>
      <c r="BJ11" s="1085">
        <v>0</v>
      </c>
      <c r="BK11" s="1086"/>
      <c r="BL11" s="1086"/>
      <c r="BM11" s="1086"/>
      <c r="BN11" s="1086"/>
      <c r="BO11" s="1086"/>
      <c r="BP11" s="1086"/>
      <c r="BQ11" s="1086"/>
      <c r="BR11" s="1086"/>
      <c r="BS11" s="1086"/>
      <c r="BT11" s="1086"/>
      <c r="BU11" s="1086"/>
      <c r="BV11" s="1086"/>
      <c r="BW11" s="786"/>
      <c r="BX11" s="787"/>
      <c r="BY11" s="787"/>
      <c r="BZ11" s="1087">
        <f t="shared" si="0"/>
        <v>0</v>
      </c>
      <c r="CA11" s="1088"/>
      <c r="CB11" s="1088"/>
      <c r="CC11" s="1088"/>
      <c r="CD11" s="1088"/>
      <c r="CE11" s="1088"/>
      <c r="CF11" s="1088"/>
      <c r="CG11" s="1088"/>
      <c r="CH11" s="1088"/>
      <c r="CI11" s="1088"/>
      <c r="CJ11" s="1088"/>
      <c r="CK11" s="1088"/>
      <c r="CL11" s="1088"/>
      <c r="CM11" s="784"/>
      <c r="CN11" s="785"/>
      <c r="CO11" s="1089"/>
      <c r="CP11" s="1090"/>
      <c r="CQ11" s="1090"/>
      <c r="CR11" s="1090"/>
      <c r="CS11" s="1090"/>
      <c r="CT11" s="1090"/>
      <c r="CU11" s="1090"/>
      <c r="CV11" s="1090"/>
      <c r="CW11" s="1090"/>
      <c r="CX11" s="1090"/>
      <c r="CY11" s="1090"/>
      <c r="CZ11" s="1090"/>
      <c r="DA11" s="1090"/>
      <c r="DB11" s="1090"/>
      <c r="DC11" s="1090"/>
      <c r="DD11" s="1090"/>
      <c r="DE11" s="1090"/>
      <c r="DF11" s="1090"/>
      <c r="DG11" s="1090"/>
      <c r="DH11" s="1090"/>
      <c r="DJ11" s="772"/>
    </row>
    <row r="12" spans="1:251" ht="18.75" customHeight="1" x14ac:dyDescent="0.3">
      <c r="A12" s="774"/>
      <c r="C12" s="772"/>
      <c r="D12" s="783">
        <v>6</v>
      </c>
      <c r="E12" s="1109"/>
      <c r="F12" s="1110"/>
      <c r="G12" s="1110"/>
      <c r="H12" s="1110"/>
      <c r="I12" s="1110"/>
      <c r="J12" s="1110"/>
      <c r="K12" s="1110"/>
      <c r="L12" s="1110"/>
      <c r="M12" s="1110"/>
      <c r="N12" s="1110"/>
      <c r="O12" s="1110"/>
      <c r="P12" s="1110"/>
      <c r="Q12" s="1110"/>
      <c r="R12" s="1110"/>
      <c r="S12" s="1110"/>
      <c r="T12" s="1110"/>
      <c r="U12" s="1110"/>
      <c r="V12" s="1110"/>
      <c r="W12" s="1110"/>
      <c r="X12" s="1110"/>
      <c r="Y12" s="1110"/>
      <c r="Z12" s="1110"/>
      <c r="AA12" s="1110"/>
      <c r="AB12" s="1110"/>
      <c r="AC12" s="1110"/>
      <c r="AD12" s="1110"/>
      <c r="AE12" s="1110"/>
      <c r="AF12" s="1110"/>
      <c r="AG12" s="1110"/>
      <c r="AH12" s="1110"/>
      <c r="AI12" s="1110"/>
      <c r="AJ12" s="1110"/>
      <c r="AK12" s="1110"/>
      <c r="AL12" s="1110"/>
      <c r="AM12" s="1110"/>
      <c r="AN12" s="1110"/>
      <c r="AO12" s="1110"/>
      <c r="AP12" s="1110"/>
      <c r="AQ12" s="784"/>
      <c r="AR12" s="785"/>
      <c r="AS12" s="785"/>
      <c r="AT12" s="1085">
        <v>0</v>
      </c>
      <c r="AU12" s="1086"/>
      <c r="AV12" s="1086"/>
      <c r="AW12" s="1086"/>
      <c r="AX12" s="1086"/>
      <c r="AY12" s="1086"/>
      <c r="AZ12" s="1086"/>
      <c r="BA12" s="1086"/>
      <c r="BB12" s="1086"/>
      <c r="BC12" s="1086"/>
      <c r="BD12" s="1086"/>
      <c r="BE12" s="1086"/>
      <c r="BF12" s="1086"/>
      <c r="BG12" s="786"/>
      <c r="BH12" s="787"/>
      <c r="BI12" s="787"/>
      <c r="BJ12" s="1085">
        <v>0</v>
      </c>
      <c r="BK12" s="1086"/>
      <c r="BL12" s="1086"/>
      <c r="BM12" s="1086"/>
      <c r="BN12" s="1086"/>
      <c r="BO12" s="1086"/>
      <c r="BP12" s="1086"/>
      <c r="BQ12" s="1086"/>
      <c r="BR12" s="1086"/>
      <c r="BS12" s="1086"/>
      <c r="BT12" s="1086"/>
      <c r="BU12" s="1086"/>
      <c r="BV12" s="1086"/>
      <c r="BW12" s="786"/>
      <c r="BX12" s="787"/>
      <c r="BY12" s="787"/>
      <c r="BZ12" s="1087">
        <f t="shared" si="0"/>
        <v>0</v>
      </c>
      <c r="CA12" s="1088"/>
      <c r="CB12" s="1088"/>
      <c r="CC12" s="1088"/>
      <c r="CD12" s="1088"/>
      <c r="CE12" s="1088"/>
      <c r="CF12" s="1088"/>
      <c r="CG12" s="1088"/>
      <c r="CH12" s="1088"/>
      <c r="CI12" s="1088"/>
      <c r="CJ12" s="1088"/>
      <c r="CK12" s="1088"/>
      <c r="CL12" s="1088"/>
      <c r="CM12" s="784"/>
      <c r="CN12" s="785"/>
      <c r="CO12" s="1089"/>
      <c r="CP12" s="1090"/>
      <c r="CQ12" s="1090"/>
      <c r="CR12" s="1090"/>
      <c r="CS12" s="1090"/>
      <c r="CT12" s="1090"/>
      <c r="CU12" s="1090"/>
      <c r="CV12" s="1090"/>
      <c r="CW12" s="1090"/>
      <c r="CX12" s="1090"/>
      <c r="CY12" s="1090"/>
      <c r="CZ12" s="1090"/>
      <c r="DA12" s="1090"/>
      <c r="DB12" s="1090"/>
      <c r="DC12" s="1090"/>
      <c r="DD12" s="1090"/>
      <c r="DE12" s="1090"/>
      <c r="DF12" s="1090"/>
      <c r="DG12" s="1090"/>
      <c r="DH12" s="1090"/>
      <c r="DJ12" s="772"/>
    </row>
    <row r="13" spans="1:251" ht="18.75" customHeight="1" x14ac:dyDescent="0.3">
      <c r="A13" s="774"/>
      <c r="C13" s="772"/>
      <c r="D13" s="783">
        <v>7</v>
      </c>
      <c r="E13" s="1109"/>
      <c r="F13" s="1110"/>
      <c r="G13" s="1110"/>
      <c r="H13" s="1110"/>
      <c r="I13" s="1110"/>
      <c r="J13" s="1110"/>
      <c r="K13" s="1110"/>
      <c r="L13" s="1110"/>
      <c r="M13" s="1110"/>
      <c r="N13" s="1110"/>
      <c r="O13" s="1110"/>
      <c r="P13" s="1110"/>
      <c r="Q13" s="1110"/>
      <c r="R13" s="1110"/>
      <c r="S13" s="1110"/>
      <c r="T13" s="1110"/>
      <c r="U13" s="1110"/>
      <c r="V13" s="1110"/>
      <c r="W13" s="1110"/>
      <c r="X13" s="1110"/>
      <c r="Y13" s="1110"/>
      <c r="Z13" s="1110"/>
      <c r="AA13" s="1110"/>
      <c r="AB13" s="1110"/>
      <c r="AC13" s="1110"/>
      <c r="AD13" s="1110"/>
      <c r="AE13" s="1110"/>
      <c r="AF13" s="1110"/>
      <c r="AG13" s="1110"/>
      <c r="AH13" s="1110"/>
      <c r="AI13" s="1110"/>
      <c r="AJ13" s="1110"/>
      <c r="AK13" s="1110"/>
      <c r="AL13" s="1110"/>
      <c r="AM13" s="1110"/>
      <c r="AN13" s="1110"/>
      <c r="AO13" s="1110"/>
      <c r="AP13" s="1110"/>
      <c r="AQ13" s="784"/>
      <c r="AR13" s="785"/>
      <c r="AS13" s="785"/>
      <c r="AT13" s="1085">
        <v>0</v>
      </c>
      <c r="AU13" s="1086"/>
      <c r="AV13" s="1086"/>
      <c r="AW13" s="1086"/>
      <c r="AX13" s="1086"/>
      <c r="AY13" s="1086"/>
      <c r="AZ13" s="1086"/>
      <c r="BA13" s="1086"/>
      <c r="BB13" s="1086"/>
      <c r="BC13" s="1086"/>
      <c r="BD13" s="1086"/>
      <c r="BE13" s="1086"/>
      <c r="BF13" s="1086"/>
      <c r="BG13" s="786"/>
      <c r="BH13" s="787"/>
      <c r="BI13" s="787"/>
      <c r="BJ13" s="1085">
        <v>0</v>
      </c>
      <c r="BK13" s="1086"/>
      <c r="BL13" s="1086"/>
      <c r="BM13" s="1086"/>
      <c r="BN13" s="1086"/>
      <c r="BO13" s="1086"/>
      <c r="BP13" s="1086"/>
      <c r="BQ13" s="1086"/>
      <c r="BR13" s="1086"/>
      <c r="BS13" s="1086"/>
      <c r="BT13" s="1086"/>
      <c r="BU13" s="1086"/>
      <c r="BV13" s="1086"/>
      <c r="BW13" s="786"/>
      <c r="BX13" s="787"/>
      <c r="BY13" s="787"/>
      <c r="BZ13" s="1087">
        <f t="shared" si="0"/>
        <v>0</v>
      </c>
      <c r="CA13" s="1088"/>
      <c r="CB13" s="1088"/>
      <c r="CC13" s="1088"/>
      <c r="CD13" s="1088"/>
      <c r="CE13" s="1088"/>
      <c r="CF13" s="1088"/>
      <c r="CG13" s="1088"/>
      <c r="CH13" s="1088"/>
      <c r="CI13" s="1088"/>
      <c r="CJ13" s="1088"/>
      <c r="CK13" s="1088"/>
      <c r="CL13" s="1088"/>
      <c r="CM13" s="784"/>
      <c r="CN13" s="785"/>
      <c r="CO13" s="1089"/>
      <c r="CP13" s="1090"/>
      <c r="CQ13" s="1090"/>
      <c r="CR13" s="1090"/>
      <c r="CS13" s="1090"/>
      <c r="CT13" s="1090"/>
      <c r="CU13" s="1090"/>
      <c r="CV13" s="1090"/>
      <c r="CW13" s="1090"/>
      <c r="CX13" s="1090"/>
      <c r="CY13" s="1090"/>
      <c r="CZ13" s="1090"/>
      <c r="DA13" s="1090"/>
      <c r="DB13" s="1090"/>
      <c r="DC13" s="1090"/>
      <c r="DD13" s="1090"/>
      <c r="DE13" s="1090"/>
      <c r="DF13" s="1090"/>
      <c r="DG13" s="1090"/>
      <c r="DH13" s="1090"/>
      <c r="DJ13" s="772"/>
    </row>
    <row r="14" spans="1:251" ht="18.75" customHeight="1" x14ac:dyDescent="0.3">
      <c r="A14" s="774"/>
      <c r="C14" s="772"/>
      <c r="D14" s="783">
        <v>8</v>
      </c>
      <c r="E14" s="1109"/>
      <c r="F14" s="1110"/>
      <c r="G14" s="1110"/>
      <c r="H14" s="1110"/>
      <c r="I14" s="1110"/>
      <c r="J14" s="1110"/>
      <c r="K14" s="1110"/>
      <c r="L14" s="1110"/>
      <c r="M14" s="1110"/>
      <c r="N14" s="1110"/>
      <c r="O14" s="1110"/>
      <c r="P14" s="1110"/>
      <c r="Q14" s="1110"/>
      <c r="R14" s="1110"/>
      <c r="S14" s="1110"/>
      <c r="T14" s="1110"/>
      <c r="U14" s="1110"/>
      <c r="V14" s="1110"/>
      <c r="W14" s="1110"/>
      <c r="X14" s="1110"/>
      <c r="Y14" s="1110"/>
      <c r="Z14" s="1110"/>
      <c r="AA14" s="1110"/>
      <c r="AB14" s="1110"/>
      <c r="AC14" s="1110"/>
      <c r="AD14" s="1110"/>
      <c r="AE14" s="1110"/>
      <c r="AF14" s="1110"/>
      <c r="AG14" s="1110"/>
      <c r="AH14" s="1110"/>
      <c r="AI14" s="1110"/>
      <c r="AJ14" s="1110"/>
      <c r="AK14" s="1110"/>
      <c r="AL14" s="1110"/>
      <c r="AM14" s="1110"/>
      <c r="AN14" s="1110"/>
      <c r="AO14" s="1110"/>
      <c r="AP14" s="1110"/>
      <c r="AQ14" s="784"/>
      <c r="AR14" s="785"/>
      <c r="AS14" s="785"/>
      <c r="AT14" s="1085">
        <v>0</v>
      </c>
      <c r="AU14" s="1086"/>
      <c r="AV14" s="1086"/>
      <c r="AW14" s="1086"/>
      <c r="AX14" s="1086"/>
      <c r="AY14" s="1086"/>
      <c r="AZ14" s="1086"/>
      <c r="BA14" s="1086"/>
      <c r="BB14" s="1086"/>
      <c r="BC14" s="1086"/>
      <c r="BD14" s="1086"/>
      <c r="BE14" s="1086"/>
      <c r="BF14" s="1086"/>
      <c r="BG14" s="786"/>
      <c r="BH14" s="787"/>
      <c r="BI14" s="787"/>
      <c r="BJ14" s="1085">
        <v>0</v>
      </c>
      <c r="BK14" s="1086"/>
      <c r="BL14" s="1086"/>
      <c r="BM14" s="1086"/>
      <c r="BN14" s="1086"/>
      <c r="BO14" s="1086"/>
      <c r="BP14" s="1086"/>
      <c r="BQ14" s="1086"/>
      <c r="BR14" s="1086"/>
      <c r="BS14" s="1086"/>
      <c r="BT14" s="1086"/>
      <c r="BU14" s="1086"/>
      <c r="BV14" s="1086"/>
      <c r="BW14" s="786"/>
      <c r="BX14" s="787"/>
      <c r="BY14" s="787"/>
      <c r="BZ14" s="1087">
        <f t="shared" si="0"/>
        <v>0</v>
      </c>
      <c r="CA14" s="1088"/>
      <c r="CB14" s="1088"/>
      <c r="CC14" s="1088"/>
      <c r="CD14" s="1088"/>
      <c r="CE14" s="1088"/>
      <c r="CF14" s="1088"/>
      <c r="CG14" s="1088"/>
      <c r="CH14" s="1088"/>
      <c r="CI14" s="1088"/>
      <c r="CJ14" s="1088"/>
      <c r="CK14" s="1088"/>
      <c r="CL14" s="1088"/>
      <c r="CM14" s="784"/>
      <c r="CN14" s="785"/>
      <c r="CO14" s="1089"/>
      <c r="CP14" s="1090"/>
      <c r="CQ14" s="1090"/>
      <c r="CR14" s="1090"/>
      <c r="CS14" s="1090"/>
      <c r="CT14" s="1090"/>
      <c r="CU14" s="1090"/>
      <c r="CV14" s="1090"/>
      <c r="CW14" s="1090"/>
      <c r="CX14" s="1090"/>
      <c r="CY14" s="1090"/>
      <c r="CZ14" s="1090"/>
      <c r="DA14" s="1090"/>
      <c r="DB14" s="1090"/>
      <c r="DC14" s="1090"/>
      <c r="DD14" s="1090"/>
      <c r="DE14" s="1090"/>
      <c r="DF14" s="1090"/>
      <c r="DG14" s="1090"/>
      <c r="DH14" s="1090"/>
      <c r="DJ14" s="772"/>
    </row>
    <row r="15" spans="1:251" ht="18.75" customHeight="1" x14ac:dyDescent="0.3">
      <c r="A15" s="774"/>
      <c r="C15" s="772"/>
      <c r="D15" s="783">
        <v>9</v>
      </c>
      <c r="E15" s="1109"/>
      <c r="F15" s="1110"/>
      <c r="G15" s="1110"/>
      <c r="H15" s="1110"/>
      <c r="I15" s="1110"/>
      <c r="J15" s="1110"/>
      <c r="K15" s="1110"/>
      <c r="L15" s="1110"/>
      <c r="M15" s="1110"/>
      <c r="N15" s="1110"/>
      <c r="O15" s="1110"/>
      <c r="P15" s="1110"/>
      <c r="Q15" s="1110"/>
      <c r="R15" s="1110"/>
      <c r="S15" s="1110"/>
      <c r="T15" s="1110"/>
      <c r="U15" s="1110"/>
      <c r="V15" s="1110"/>
      <c r="W15" s="1110"/>
      <c r="X15" s="1110"/>
      <c r="Y15" s="1110"/>
      <c r="Z15" s="1110"/>
      <c r="AA15" s="1110"/>
      <c r="AB15" s="1110"/>
      <c r="AC15" s="1110"/>
      <c r="AD15" s="1110"/>
      <c r="AE15" s="1110"/>
      <c r="AF15" s="1110"/>
      <c r="AG15" s="1110"/>
      <c r="AH15" s="1110"/>
      <c r="AI15" s="1110"/>
      <c r="AJ15" s="1110"/>
      <c r="AK15" s="1110"/>
      <c r="AL15" s="1110"/>
      <c r="AM15" s="1110"/>
      <c r="AN15" s="1110"/>
      <c r="AO15" s="1110"/>
      <c r="AP15" s="1110"/>
      <c r="AQ15" s="784"/>
      <c r="AR15" s="785"/>
      <c r="AS15" s="785"/>
      <c r="AT15" s="1085">
        <v>0</v>
      </c>
      <c r="AU15" s="1086"/>
      <c r="AV15" s="1086"/>
      <c r="AW15" s="1086"/>
      <c r="AX15" s="1086"/>
      <c r="AY15" s="1086"/>
      <c r="AZ15" s="1086"/>
      <c r="BA15" s="1086"/>
      <c r="BB15" s="1086"/>
      <c r="BC15" s="1086"/>
      <c r="BD15" s="1086"/>
      <c r="BE15" s="1086"/>
      <c r="BF15" s="1086"/>
      <c r="BG15" s="786"/>
      <c r="BH15" s="787"/>
      <c r="BI15" s="787"/>
      <c r="BJ15" s="1085">
        <v>0</v>
      </c>
      <c r="BK15" s="1086"/>
      <c r="BL15" s="1086"/>
      <c r="BM15" s="1086"/>
      <c r="BN15" s="1086"/>
      <c r="BO15" s="1086"/>
      <c r="BP15" s="1086"/>
      <c r="BQ15" s="1086"/>
      <c r="BR15" s="1086"/>
      <c r="BS15" s="1086"/>
      <c r="BT15" s="1086"/>
      <c r="BU15" s="1086"/>
      <c r="BV15" s="1086"/>
      <c r="BW15" s="786"/>
      <c r="BX15" s="787"/>
      <c r="BY15" s="787"/>
      <c r="BZ15" s="1087">
        <f t="shared" si="0"/>
        <v>0</v>
      </c>
      <c r="CA15" s="1088"/>
      <c r="CB15" s="1088"/>
      <c r="CC15" s="1088"/>
      <c r="CD15" s="1088"/>
      <c r="CE15" s="1088"/>
      <c r="CF15" s="1088"/>
      <c r="CG15" s="1088"/>
      <c r="CH15" s="1088"/>
      <c r="CI15" s="1088"/>
      <c r="CJ15" s="1088"/>
      <c r="CK15" s="1088"/>
      <c r="CL15" s="1088"/>
      <c r="CM15" s="784"/>
      <c r="CN15" s="785"/>
      <c r="CO15" s="1089"/>
      <c r="CP15" s="1090"/>
      <c r="CQ15" s="1090"/>
      <c r="CR15" s="1090"/>
      <c r="CS15" s="1090"/>
      <c r="CT15" s="1090"/>
      <c r="CU15" s="1090"/>
      <c r="CV15" s="1090"/>
      <c r="CW15" s="1090"/>
      <c r="CX15" s="1090"/>
      <c r="CY15" s="1090"/>
      <c r="CZ15" s="1090"/>
      <c r="DA15" s="1090"/>
      <c r="DB15" s="1090"/>
      <c r="DC15" s="1090"/>
      <c r="DD15" s="1090"/>
      <c r="DE15" s="1090"/>
      <c r="DF15" s="1090"/>
      <c r="DG15" s="1090"/>
      <c r="DH15" s="1090"/>
      <c r="DJ15" s="772"/>
    </row>
    <row r="16" spans="1:251" ht="18.75" customHeight="1" x14ac:dyDescent="0.3">
      <c r="A16" s="774"/>
      <c r="C16" s="772"/>
      <c r="D16" s="783">
        <v>10</v>
      </c>
      <c r="E16" s="1109"/>
      <c r="F16" s="1110"/>
      <c r="G16" s="1110"/>
      <c r="H16" s="1110"/>
      <c r="I16" s="1110"/>
      <c r="J16" s="1110"/>
      <c r="K16" s="1110"/>
      <c r="L16" s="1110"/>
      <c r="M16" s="1110"/>
      <c r="N16" s="1110"/>
      <c r="O16" s="1110"/>
      <c r="P16" s="1110"/>
      <c r="Q16" s="1110"/>
      <c r="R16" s="1110"/>
      <c r="S16" s="1110"/>
      <c r="T16" s="1110"/>
      <c r="U16" s="1110"/>
      <c r="V16" s="1110"/>
      <c r="W16" s="1110"/>
      <c r="X16" s="1110"/>
      <c r="Y16" s="1110"/>
      <c r="Z16" s="1110"/>
      <c r="AA16" s="1110"/>
      <c r="AB16" s="1110"/>
      <c r="AC16" s="1110"/>
      <c r="AD16" s="1110"/>
      <c r="AE16" s="1110"/>
      <c r="AF16" s="1110"/>
      <c r="AG16" s="1110"/>
      <c r="AH16" s="1110"/>
      <c r="AI16" s="1110"/>
      <c r="AJ16" s="1110"/>
      <c r="AK16" s="1110"/>
      <c r="AL16" s="1110"/>
      <c r="AM16" s="1110"/>
      <c r="AN16" s="1110"/>
      <c r="AO16" s="1110"/>
      <c r="AP16" s="1110"/>
      <c r="AQ16" s="784"/>
      <c r="AR16" s="785"/>
      <c r="AS16" s="785"/>
      <c r="AT16" s="1085">
        <v>0</v>
      </c>
      <c r="AU16" s="1086"/>
      <c r="AV16" s="1086"/>
      <c r="AW16" s="1086"/>
      <c r="AX16" s="1086"/>
      <c r="AY16" s="1086"/>
      <c r="AZ16" s="1086"/>
      <c r="BA16" s="1086"/>
      <c r="BB16" s="1086"/>
      <c r="BC16" s="1086"/>
      <c r="BD16" s="1086"/>
      <c r="BE16" s="1086"/>
      <c r="BF16" s="1086"/>
      <c r="BG16" s="786"/>
      <c r="BH16" s="787"/>
      <c r="BI16" s="787"/>
      <c r="BJ16" s="1085">
        <v>0</v>
      </c>
      <c r="BK16" s="1086"/>
      <c r="BL16" s="1086"/>
      <c r="BM16" s="1086"/>
      <c r="BN16" s="1086"/>
      <c r="BO16" s="1086"/>
      <c r="BP16" s="1086"/>
      <c r="BQ16" s="1086"/>
      <c r="BR16" s="1086"/>
      <c r="BS16" s="1086"/>
      <c r="BT16" s="1086"/>
      <c r="BU16" s="1086"/>
      <c r="BV16" s="1086"/>
      <c r="BW16" s="786"/>
      <c r="BX16" s="787"/>
      <c r="BY16" s="787"/>
      <c r="BZ16" s="1087">
        <f t="shared" si="0"/>
        <v>0</v>
      </c>
      <c r="CA16" s="1088"/>
      <c r="CB16" s="1088"/>
      <c r="CC16" s="1088"/>
      <c r="CD16" s="1088"/>
      <c r="CE16" s="1088"/>
      <c r="CF16" s="1088"/>
      <c r="CG16" s="1088"/>
      <c r="CH16" s="1088"/>
      <c r="CI16" s="1088"/>
      <c r="CJ16" s="1088"/>
      <c r="CK16" s="1088"/>
      <c r="CL16" s="1088"/>
      <c r="CM16" s="784"/>
      <c r="CN16" s="785"/>
      <c r="CO16" s="1089"/>
      <c r="CP16" s="1090"/>
      <c r="CQ16" s="1090"/>
      <c r="CR16" s="1090"/>
      <c r="CS16" s="1090"/>
      <c r="CT16" s="1090"/>
      <c r="CU16" s="1090"/>
      <c r="CV16" s="1090"/>
      <c r="CW16" s="1090"/>
      <c r="CX16" s="1090"/>
      <c r="CY16" s="1090"/>
      <c r="CZ16" s="1090"/>
      <c r="DA16" s="1090"/>
      <c r="DB16" s="1090"/>
      <c r="DC16" s="1090"/>
      <c r="DD16" s="1090"/>
      <c r="DE16" s="1090"/>
      <c r="DF16" s="1090"/>
      <c r="DG16" s="1090"/>
      <c r="DH16" s="1090"/>
      <c r="DJ16" s="772"/>
    </row>
    <row r="17" spans="3:196" ht="18.75" customHeight="1" x14ac:dyDescent="0.3">
      <c r="C17" s="772"/>
      <c r="D17" s="783">
        <v>11</v>
      </c>
      <c r="E17" s="1109"/>
      <c r="F17" s="1110"/>
      <c r="G17" s="1110"/>
      <c r="H17" s="1110"/>
      <c r="I17" s="1110"/>
      <c r="J17" s="1110"/>
      <c r="K17" s="1110"/>
      <c r="L17" s="1110"/>
      <c r="M17" s="1110"/>
      <c r="N17" s="1110"/>
      <c r="O17" s="1110"/>
      <c r="P17" s="1110"/>
      <c r="Q17" s="1110"/>
      <c r="R17" s="1110"/>
      <c r="S17" s="1110"/>
      <c r="T17" s="1110"/>
      <c r="U17" s="1110"/>
      <c r="V17" s="1110"/>
      <c r="W17" s="1110"/>
      <c r="X17" s="1110"/>
      <c r="Y17" s="1110"/>
      <c r="Z17" s="1110"/>
      <c r="AA17" s="1110"/>
      <c r="AB17" s="1110"/>
      <c r="AC17" s="1110"/>
      <c r="AD17" s="1110"/>
      <c r="AE17" s="1110"/>
      <c r="AF17" s="1110"/>
      <c r="AG17" s="1110"/>
      <c r="AH17" s="1110"/>
      <c r="AI17" s="1110"/>
      <c r="AJ17" s="1110"/>
      <c r="AK17" s="1110"/>
      <c r="AL17" s="1110"/>
      <c r="AM17" s="1110"/>
      <c r="AN17" s="1110"/>
      <c r="AO17" s="1110"/>
      <c r="AP17" s="1110"/>
      <c r="AQ17" s="784"/>
      <c r="AR17" s="785"/>
      <c r="AS17" s="785"/>
      <c r="AT17" s="1085">
        <v>0</v>
      </c>
      <c r="AU17" s="1086"/>
      <c r="AV17" s="1086"/>
      <c r="AW17" s="1086"/>
      <c r="AX17" s="1086"/>
      <c r="AY17" s="1086"/>
      <c r="AZ17" s="1086"/>
      <c r="BA17" s="1086"/>
      <c r="BB17" s="1086"/>
      <c r="BC17" s="1086"/>
      <c r="BD17" s="1086"/>
      <c r="BE17" s="1086"/>
      <c r="BF17" s="1086"/>
      <c r="BG17" s="786"/>
      <c r="BH17" s="787"/>
      <c r="BI17" s="787"/>
      <c r="BJ17" s="1085">
        <v>0</v>
      </c>
      <c r="BK17" s="1086"/>
      <c r="BL17" s="1086"/>
      <c r="BM17" s="1086"/>
      <c r="BN17" s="1086"/>
      <c r="BO17" s="1086"/>
      <c r="BP17" s="1086"/>
      <c r="BQ17" s="1086"/>
      <c r="BR17" s="1086"/>
      <c r="BS17" s="1086"/>
      <c r="BT17" s="1086"/>
      <c r="BU17" s="1086"/>
      <c r="BV17" s="1086"/>
      <c r="BW17" s="786"/>
      <c r="BX17" s="787"/>
      <c r="BY17" s="787"/>
      <c r="BZ17" s="1087">
        <f t="shared" si="0"/>
        <v>0</v>
      </c>
      <c r="CA17" s="1088"/>
      <c r="CB17" s="1088"/>
      <c r="CC17" s="1088"/>
      <c r="CD17" s="1088"/>
      <c r="CE17" s="1088"/>
      <c r="CF17" s="1088"/>
      <c r="CG17" s="1088"/>
      <c r="CH17" s="1088"/>
      <c r="CI17" s="1088"/>
      <c r="CJ17" s="1088"/>
      <c r="CK17" s="1088"/>
      <c r="CL17" s="1088"/>
      <c r="CM17" s="784"/>
      <c r="CN17" s="785"/>
      <c r="CO17" s="1089"/>
      <c r="CP17" s="1090"/>
      <c r="CQ17" s="1090"/>
      <c r="CR17" s="1090"/>
      <c r="CS17" s="1090"/>
      <c r="CT17" s="1090"/>
      <c r="CU17" s="1090"/>
      <c r="CV17" s="1090"/>
      <c r="CW17" s="1090"/>
      <c r="CX17" s="1090"/>
      <c r="CY17" s="1090"/>
      <c r="CZ17" s="1090"/>
      <c r="DA17" s="1090"/>
      <c r="DB17" s="1090"/>
      <c r="DC17" s="1090"/>
      <c r="DD17" s="1090"/>
      <c r="DE17" s="1090"/>
      <c r="DF17" s="1090"/>
      <c r="DG17" s="1090"/>
      <c r="DH17" s="1090"/>
      <c r="DJ17" s="772"/>
    </row>
    <row r="18" spans="3:196" ht="18.75" customHeight="1" x14ac:dyDescent="0.3">
      <c r="C18" s="772"/>
      <c r="D18" s="783">
        <v>12</v>
      </c>
      <c r="E18" s="1109"/>
      <c r="F18" s="1110"/>
      <c r="G18" s="1110"/>
      <c r="H18" s="1110"/>
      <c r="I18" s="1110"/>
      <c r="J18" s="1110"/>
      <c r="K18" s="1110"/>
      <c r="L18" s="1110"/>
      <c r="M18" s="1110"/>
      <c r="N18" s="1110"/>
      <c r="O18" s="1110"/>
      <c r="P18" s="1110"/>
      <c r="Q18" s="1110"/>
      <c r="R18" s="1110"/>
      <c r="S18" s="1110"/>
      <c r="T18" s="1110"/>
      <c r="U18" s="1110"/>
      <c r="V18" s="1110"/>
      <c r="W18" s="1110"/>
      <c r="X18" s="1110"/>
      <c r="Y18" s="1110"/>
      <c r="Z18" s="1110"/>
      <c r="AA18" s="1110"/>
      <c r="AB18" s="1110"/>
      <c r="AC18" s="1110"/>
      <c r="AD18" s="1110"/>
      <c r="AE18" s="1110"/>
      <c r="AF18" s="1110"/>
      <c r="AG18" s="1110"/>
      <c r="AH18" s="1110"/>
      <c r="AI18" s="1110"/>
      <c r="AJ18" s="1110"/>
      <c r="AK18" s="1110"/>
      <c r="AL18" s="1110"/>
      <c r="AM18" s="1110"/>
      <c r="AN18" s="1110"/>
      <c r="AO18" s="1110"/>
      <c r="AP18" s="1110"/>
      <c r="AQ18" s="784"/>
      <c r="AR18" s="785"/>
      <c r="AS18" s="785"/>
      <c r="AT18" s="1085">
        <v>0</v>
      </c>
      <c r="AU18" s="1086"/>
      <c r="AV18" s="1086"/>
      <c r="AW18" s="1086"/>
      <c r="AX18" s="1086"/>
      <c r="AY18" s="1086"/>
      <c r="AZ18" s="1086"/>
      <c r="BA18" s="1086"/>
      <c r="BB18" s="1086"/>
      <c r="BC18" s="1086"/>
      <c r="BD18" s="1086"/>
      <c r="BE18" s="1086"/>
      <c r="BF18" s="1086"/>
      <c r="BG18" s="786"/>
      <c r="BH18" s="787"/>
      <c r="BI18" s="787"/>
      <c r="BJ18" s="1085">
        <v>0</v>
      </c>
      <c r="BK18" s="1086"/>
      <c r="BL18" s="1086"/>
      <c r="BM18" s="1086"/>
      <c r="BN18" s="1086"/>
      <c r="BO18" s="1086"/>
      <c r="BP18" s="1086"/>
      <c r="BQ18" s="1086"/>
      <c r="BR18" s="1086"/>
      <c r="BS18" s="1086"/>
      <c r="BT18" s="1086"/>
      <c r="BU18" s="1086"/>
      <c r="BV18" s="1086"/>
      <c r="BW18" s="786"/>
      <c r="BX18" s="787"/>
      <c r="BY18" s="787"/>
      <c r="BZ18" s="1087">
        <f t="shared" si="0"/>
        <v>0</v>
      </c>
      <c r="CA18" s="1088"/>
      <c r="CB18" s="1088"/>
      <c r="CC18" s="1088"/>
      <c r="CD18" s="1088"/>
      <c r="CE18" s="1088"/>
      <c r="CF18" s="1088"/>
      <c r="CG18" s="1088"/>
      <c r="CH18" s="1088"/>
      <c r="CI18" s="1088"/>
      <c r="CJ18" s="1088"/>
      <c r="CK18" s="1088"/>
      <c r="CL18" s="1088"/>
      <c r="CM18" s="784"/>
      <c r="CN18" s="785"/>
      <c r="CO18" s="1089"/>
      <c r="CP18" s="1090"/>
      <c r="CQ18" s="1090"/>
      <c r="CR18" s="1090"/>
      <c r="CS18" s="1090"/>
      <c r="CT18" s="1090"/>
      <c r="CU18" s="1090"/>
      <c r="CV18" s="1090"/>
      <c r="CW18" s="1090"/>
      <c r="CX18" s="1090"/>
      <c r="CY18" s="1090"/>
      <c r="CZ18" s="1090"/>
      <c r="DA18" s="1090"/>
      <c r="DB18" s="1090"/>
      <c r="DC18" s="1090"/>
      <c r="DD18" s="1090"/>
      <c r="DE18" s="1090"/>
      <c r="DF18" s="1090"/>
      <c r="DG18" s="1090"/>
      <c r="DH18" s="1090"/>
      <c r="DJ18" s="772"/>
    </row>
    <row r="19" spans="3:196" ht="18.75" customHeight="1" x14ac:dyDescent="0.3">
      <c r="C19" s="772"/>
      <c r="D19" s="783">
        <v>13</v>
      </c>
      <c r="E19" s="1109"/>
      <c r="F19" s="1110"/>
      <c r="G19" s="1110"/>
      <c r="H19" s="1110"/>
      <c r="I19" s="1110"/>
      <c r="J19" s="1110"/>
      <c r="K19" s="1110"/>
      <c r="L19" s="1110"/>
      <c r="M19" s="1110"/>
      <c r="N19" s="1110"/>
      <c r="O19" s="1110"/>
      <c r="P19" s="1110"/>
      <c r="Q19" s="1110"/>
      <c r="R19" s="1110"/>
      <c r="S19" s="1110"/>
      <c r="T19" s="1110"/>
      <c r="U19" s="1110"/>
      <c r="V19" s="1110"/>
      <c r="W19" s="1110"/>
      <c r="X19" s="1110"/>
      <c r="Y19" s="1110"/>
      <c r="Z19" s="1110"/>
      <c r="AA19" s="1110"/>
      <c r="AB19" s="1110"/>
      <c r="AC19" s="1110"/>
      <c r="AD19" s="1110"/>
      <c r="AE19" s="1110"/>
      <c r="AF19" s="1110"/>
      <c r="AG19" s="1110"/>
      <c r="AH19" s="1110"/>
      <c r="AI19" s="1110"/>
      <c r="AJ19" s="1110"/>
      <c r="AK19" s="1110"/>
      <c r="AL19" s="1110"/>
      <c r="AM19" s="1110"/>
      <c r="AN19" s="1110"/>
      <c r="AO19" s="1110"/>
      <c r="AP19" s="1110"/>
      <c r="AQ19" s="784"/>
      <c r="AR19" s="785"/>
      <c r="AS19" s="785"/>
      <c r="AT19" s="1085">
        <v>0</v>
      </c>
      <c r="AU19" s="1086"/>
      <c r="AV19" s="1086"/>
      <c r="AW19" s="1086"/>
      <c r="AX19" s="1086"/>
      <c r="AY19" s="1086"/>
      <c r="AZ19" s="1086"/>
      <c r="BA19" s="1086"/>
      <c r="BB19" s="1086"/>
      <c r="BC19" s="1086"/>
      <c r="BD19" s="1086"/>
      <c r="BE19" s="1086"/>
      <c r="BF19" s="1086"/>
      <c r="BG19" s="786"/>
      <c r="BH19" s="787"/>
      <c r="BI19" s="787"/>
      <c r="BJ19" s="1085">
        <v>0</v>
      </c>
      <c r="BK19" s="1086"/>
      <c r="BL19" s="1086"/>
      <c r="BM19" s="1086"/>
      <c r="BN19" s="1086"/>
      <c r="BO19" s="1086"/>
      <c r="BP19" s="1086"/>
      <c r="BQ19" s="1086"/>
      <c r="BR19" s="1086"/>
      <c r="BS19" s="1086"/>
      <c r="BT19" s="1086"/>
      <c r="BU19" s="1086"/>
      <c r="BV19" s="1086"/>
      <c r="BW19" s="786"/>
      <c r="BX19" s="787"/>
      <c r="BY19" s="787"/>
      <c r="BZ19" s="1087">
        <f t="shared" si="0"/>
        <v>0</v>
      </c>
      <c r="CA19" s="1088"/>
      <c r="CB19" s="1088"/>
      <c r="CC19" s="1088"/>
      <c r="CD19" s="1088"/>
      <c r="CE19" s="1088"/>
      <c r="CF19" s="1088"/>
      <c r="CG19" s="1088"/>
      <c r="CH19" s="1088"/>
      <c r="CI19" s="1088"/>
      <c r="CJ19" s="1088"/>
      <c r="CK19" s="1088"/>
      <c r="CL19" s="1088"/>
      <c r="CM19" s="784"/>
      <c r="CN19" s="785"/>
      <c r="CO19" s="1089"/>
      <c r="CP19" s="1090"/>
      <c r="CQ19" s="1090"/>
      <c r="CR19" s="1090"/>
      <c r="CS19" s="1090"/>
      <c r="CT19" s="1090"/>
      <c r="CU19" s="1090"/>
      <c r="CV19" s="1090"/>
      <c r="CW19" s="1090"/>
      <c r="CX19" s="1090"/>
      <c r="CY19" s="1090"/>
      <c r="CZ19" s="1090"/>
      <c r="DA19" s="1090"/>
      <c r="DB19" s="1090"/>
      <c r="DC19" s="1090"/>
      <c r="DD19" s="1090"/>
      <c r="DE19" s="1090"/>
      <c r="DF19" s="1090"/>
      <c r="DG19" s="1090"/>
      <c r="DH19" s="1090"/>
      <c r="DJ19" s="772"/>
    </row>
    <row r="20" spans="3:196" ht="18.75" customHeight="1" x14ac:dyDescent="0.3">
      <c r="C20" s="772"/>
      <c r="D20" s="783">
        <v>14</v>
      </c>
      <c r="E20" s="1109"/>
      <c r="F20" s="1110"/>
      <c r="G20" s="1110"/>
      <c r="H20" s="1110"/>
      <c r="I20" s="1110"/>
      <c r="J20" s="1110"/>
      <c r="K20" s="1110"/>
      <c r="L20" s="1110"/>
      <c r="M20" s="1110"/>
      <c r="N20" s="1110"/>
      <c r="O20" s="1110"/>
      <c r="P20" s="1110"/>
      <c r="Q20" s="1110"/>
      <c r="R20" s="1110"/>
      <c r="S20" s="1110"/>
      <c r="T20" s="1110"/>
      <c r="U20" s="1110"/>
      <c r="V20" s="1110"/>
      <c r="W20" s="1110"/>
      <c r="X20" s="1110"/>
      <c r="Y20" s="1110"/>
      <c r="Z20" s="1110"/>
      <c r="AA20" s="1110"/>
      <c r="AB20" s="1110"/>
      <c r="AC20" s="1110"/>
      <c r="AD20" s="1110"/>
      <c r="AE20" s="1110"/>
      <c r="AF20" s="1110"/>
      <c r="AG20" s="1110"/>
      <c r="AH20" s="1110"/>
      <c r="AI20" s="1110"/>
      <c r="AJ20" s="1110"/>
      <c r="AK20" s="1110"/>
      <c r="AL20" s="1110"/>
      <c r="AM20" s="1110"/>
      <c r="AN20" s="1110"/>
      <c r="AO20" s="1110"/>
      <c r="AP20" s="1110"/>
      <c r="AQ20" s="784"/>
      <c r="AR20" s="785"/>
      <c r="AS20" s="785"/>
      <c r="AT20" s="1085">
        <v>0</v>
      </c>
      <c r="AU20" s="1086"/>
      <c r="AV20" s="1086"/>
      <c r="AW20" s="1086"/>
      <c r="AX20" s="1086"/>
      <c r="AY20" s="1086"/>
      <c r="AZ20" s="1086"/>
      <c r="BA20" s="1086"/>
      <c r="BB20" s="1086"/>
      <c r="BC20" s="1086"/>
      <c r="BD20" s="1086"/>
      <c r="BE20" s="1086"/>
      <c r="BF20" s="1086"/>
      <c r="BG20" s="786"/>
      <c r="BH20" s="787"/>
      <c r="BI20" s="787"/>
      <c r="BJ20" s="1085">
        <v>0</v>
      </c>
      <c r="BK20" s="1086"/>
      <c r="BL20" s="1086"/>
      <c r="BM20" s="1086"/>
      <c r="BN20" s="1086"/>
      <c r="BO20" s="1086"/>
      <c r="BP20" s="1086"/>
      <c r="BQ20" s="1086"/>
      <c r="BR20" s="1086"/>
      <c r="BS20" s="1086"/>
      <c r="BT20" s="1086"/>
      <c r="BU20" s="1086"/>
      <c r="BV20" s="1086"/>
      <c r="BW20" s="786"/>
      <c r="BX20" s="787"/>
      <c r="BY20" s="787"/>
      <c r="BZ20" s="1087">
        <f t="shared" si="0"/>
        <v>0</v>
      </c>
      <c r="CA20" s="1088"/>
      <c r="CB20" s="1088"/>
      <c r="CC20" s="1088"/>
      <c r="CD20" s="1088"/>
      <c r="CE20" s="1088"/>
      <c r="CF20" s="1088"/>
      <c r="CG20" s="1088"/>
      <c r="CH20" s="1088"/>
      <c r="CI20" s="1088"/>
      <c r="CJ20" s="1088"/>
      <c r="CK20" s="1088"/>
      <c r="CL20" s="1088"/>
      <c r="CM20" s="784"/>
      <c r="CN20" s="785"/>
      <c r="CO20" s="1089"/>
      <c r="CP20" s="1090"/>
      <c r="CQ20" s="1090"/>
      <c r="CR20" s="1090"/>
      <c r="CS20" s="1090"/>
      <c r="CT20" s="1090"/>
      <c r="CU20" s="1090"/>
      <c r="CV20" s="1090"/>
      <c r="CW20" s="1090"/>
      <c r="CX20" s="1090"/>
      <c r="CY20" s="1090"/>
      <c r="CZ20" s="1090"/>
      <c r="DA20" s="1090"/>
      <c r="DB20" s="1090"/>
      <c r="DC20" s="1090"/>
      <c r="DD20" s="1090"/>
      <c r="DE20" s="1090"/>
      <c r="DF20" s="1090"/>
      <c r="DG20" s="1090"/>
      <c r="DH20" s="1090"/>
      <c r="DJ20" s="772"/>
    </row>
    <row r="21" spans="3:196" ht="18.75" customHeight="1" x14ac:dyDescent="0.3">
      <c r="C21" s="772"/>
      <c r="D21" s="783">
        <v>15</v>
      </c>
      <c r="E21" s="1109"/>
      <c r="F21" s="1110"/>
      <c r="G21" s="1110"/>
      <c r="H21" s="1110"/>
      <c r="I21" s="1110"/>
      <c r="J21" s="1110"/>
      <c r="K21" s="1110"/>
      <c r="L21" s="1110"/>
      <c r="M21" s="1110"/>
      <c r="N21" s="1110"/>
      <c r="O21" s="1110"/>
      <c r="P21" s="1110"/>
      <c r="Q21" s="1110"/>
      <c r="R21" s="1110"/>
      <c r="S21" s="1110"/>
      <c r="T21" s="1110"/>
      <c r="U21" s="1110"/>
      <c r="V21" s="1110"/>
      <c r="W21" s="1110"/>
      <c r="X21" s="1110"/>
      <c r="Y21" s="1110"/>
      <c r="Z21" s="1110"/>
      <c r="AA21" s="1110"/>
      <c r="AB21" s="1110"/>
      <c r="AC21" s="1110"/>
      <c r="AD21" s="1110"/>
      <c r="AE21" s="1110"/>
      <c r="AF21" s="1110"/>
      <c r="AG21" s="1110"/>
      <c r="AH21" s="1110"/>
      <c r="AI21" s="1110"/>
      <c r="AJ21" s="1110"/>
      <c r="AK21" s="1110"/>
      <c r="AL21" s="1110"/>
      <c r="AM21" s="1110"/>
      <c r="AN21" s="1110"/>
      <c r="AO21" s="1110"/>
      <c r="AP21" s="1110"/>
      <c r="AQ21" s="784"/>
      <c r="AR21" s="785"/>
      <c r="AS21" s="785"/>
      <c r="AT21" s="1085">
        <v>0</v>
      </c>
      <c r="AU21" s="1086"/>
      <c r="AV21" s="1086"/>
      <c r="AW21" s="1086"/>
      <c r="AX21" s="1086"/>
      <c r="AY21" s="1086"/>
      <c r="AZ21" s="1086"/>
      <c r="BA21" s="1086"/>
      <c r="BB21" s="1086"/>
      <c r="BC21" s="1086"/>
      <c r="BD21" s="1086"/>
      <c r="BE21" s="1086"/>
      <c r="BF21" s="1086"/>
      <c r="BG21" s="786"/>
      <c r="BH21" s="787"/>
      <c r="BI21" s="787"/>
      <c r="BJ21" s="1085">
        <v>0</v>
      </c>
      <c r="BK21" s="1086"/>
      <c r="BL21" s="1086"/>
      <c r="BM21" s="1086"/>
      <c r="BN21" s="1086"/>
      <c r="BO21" s="1086"/>
      <c r="BP21" s="1086"/>
      <c r="BQ21" s="1086"/>
      <c r="BR21" s="1086"/>
      <c r="BS21" s="1086"/>
      <c r="BT21" s="1086"/>
      <c r="BU21" s="1086"/>
      <c r="BV21" s="1086"/>
      <c r="BW21" s="786"/>
      <c r="BX21" s="787"/>
      <c r="BY21" s="787"/>
      <c r="BZ21" s="1087">
        <f t="shared" si="0"/>
        <v>0</v>
      </c>
      <c r="CA21" s="1088"/>
      <c r="CB21" s="1088"/>
      <c r="CC21" s="1088"/>
      <c r="CD21" s="1088"/>
      <c r="CE21" s="1088"/>
      <c r="CF21" s="1088"/>
      <c r="CG21" s="1088"/>
      <c r="CH21" s="1088"/>
      <c r="CI21" s="1088"/>
      <c r="CJ21" s="1088"/>
      <c r="CK21" s="1088"/>
      <c r="CL21" s="1088"/>
      <c r="CM21" s="784"/>
      <c r="CN21" s="785"/>
      <c r="CO21" s="1089"/>
      <c r="CP21" s="1090"/>
      <c r="CQ21" s="1090"/>
      <c r="CR21" s="1090"/>
      <c r="CS21" s="1090"/>
      <c r="CT21" s="1090"/>
      <c r="CU21" s="1090"/>
      <c r="CV21" s="1090"/>
      <c r="CW21" s="1090"/>
      <c r="CX21" s="1090"/>
      <c r="CY21" s="1090"/>
      <c r="CZ21" s="1090"/>
      <c r="DA21" s="1090"/>
      <c r="DB21" s="1090"/>
      <c r="DC21" s="1090"/>
      <c r="DD21" s="1090"/>
      <c r="DE21" s="1090"/>
      <c r="DF21" s="1090"/>
      <c r="DG21" s="1090"/>
      <c r="DH21" s="1090"/>
      <c r="DJ21" s="772"/>
    </row>
    <row r="22" spans="3:196" ht="18.75" customHeight="1" x14ac:dyDescent="0.3">
      <c r="C22" s="772"/>
      <c r="D22" s="783">
        <v>16</v>
      </c>
      <c r="E22" s="1109"/>
      <c r="F22" s="1110"/>
      <c r="G22" s="1110"/>
      <c r="H22" s="1110"/>
      <c r="I22" s="1110"/>
      <c r="J22" s="1110"/>
      <c r="K22" s="1110"/>
      <c r="L22" s="1110"/>
      <c r="M22" s="1110"/>
      <c r="N22" s="1110"/>
      <c r="O22" s="1110"/>
      <c r="P22" s="1110"/>
      <c r="Q22" s="1110"/>
      <c r="R22" s="1110"/>
      <c r="S22" s="1110"/>
      <c r="T22" s="1110"/>
      <c r="U22" s="1110"/>
      <c r="V22" s="1110"/>
      <c r="W22" s="1110"/>
      <c r="X22" s="1110"/>
      <c r="Y22" s="1110"/>
      <c r="Z22" s="1110"/>
      <c r="AA22" s="1110"/>
      <c r="AB22" s="1110"/>
      <c r="AC22" s="1110"/>
      <c r="AD22" s="1110"/>
      <c r="AE22" s="1110"/>
      <c r="AF22" s="1110"/>
      <c r="AG22" s="1110"/>
      <c r="AH22" s="1110"/>
      <c r="AI22" s="1110"/>
      <c r="AJ22" s="1110"/>
      <c r="AK22" s="1110"/>
      <c r="AL22" s="1110"/>
      <c r="AM22" s="1110"/>
      <c r="AN22" s="1110"/>
      <c r="AO22" s="1110"/>
      <c r="AP22" s="1110"/>
      <c r="AQ22" s="784"/>
      <c r="AR22" s="785"/>
      <c r="AS22" s="785"/>
      <c r="AT22" s="1085">
        <v>0</v>
      </c>
      <c r="AU22" s="1086"/>
      <c r="AV22" s="1086"/>
      <c r="AW22" s="1086"/>
      <c r="AX22" s="1086"/>
      <c r="AY22" s="1086"/>
      <c r="AZ22" s="1086"/>
      <c r="BA22" s="1086"/>
      <c r="BB22" s="1086"/>
      <c r="BC22" s="1086"/>
      <c r="BD22" s="1086"/>
      <c r="BE22" s="1086"/>
      <c r="BF22" s="1086"/>
      <c r="BG22" s="786"/>
      <c r="BH22" s="787"/>
      <c r="BI22" s="787"/>
      <c r="BJ22" s="1085">
        <v>0</v>
      </c>
      <c r="BK22" s="1086"/>
      <c r="BL22" s="1086"/>
      <c r="BM22" s="1086"/>
      <c r="BN22" s="1086"/>
      <c r="BO22" s="1086"/>
      <c r="BP22" s="1086"/>
      <c r="BQ22" s="1086"/>
      <c r="BR22" s="1086"/>
      <c r="BS22" s="1086"/>
      <c r="BT22" s="1086"/>
      <c r="BU22" s="1086"/>
      <c r="BV22" s="1086"/>
      <c r="BW22" s="786"/>
      <c r="BX22" s="787"/>
      <c r="BY22" s="787"/>
      <c r="BZ22" s="1087">
        <f t="shared" si="0"/>
        <v>0</v>
      </c>
      <c r="CA22" s="1088"/>
      <c r="CB22" s="1088"/>
      <c r="CC22" s="1088"/>
      <c r="CD22" s="1088"/>
      <c r="CE22" s="1088"/>
      <c r="CF22" s="1088"/>
      <c r="CG22" s="1088"/>
      <c r="CH22" s="1088"/>
      <c r="CI22" s="1088"/>
      <c r="CJ22" s="1088"/>
      <c r="CK22" s="1088"/>
      <c r="CL22" s="1088"/>
      <c r="CM22" s="784"/>
      <c r="CN22" s="785"/>
      <c r="CO22" s="1089"/>
      <c r="CP22" s="1090"/>
      <c r="CQ22" s="1090"/>
      <c r="CR22" s="1090"/>
      <c r="CS22" s="1090"/>
      <c r="CT22" s="1090"/>
      <c r="CU22" s="1090"/>
      <c r="CV22" s="1090"/>
      <c r="CW22" s="1090"/>
      <c r="CX22" s="1090"/>
      <c r="CY22" s="1090"/>
      <c r="CZ22" s="1090"/>
      <c r="DA22" s="1090"/>
      <c r="DB22" s="1090"/>
      <c r="DC22" s="1090"/>
      <c r="DD22" s="1090"/>
      <c r="DE22" s="1090"/>
      <c r="DF22" s="1090"/>
      <c r="DG22" s="1090"/>
      <c r="DH22" s="1090"/>
      <c r="DJ22" s="772"/>
    </row>
    <row r="23" spans="3:196" ht="18.75" customHeight="1" x14ac:dyDescent="0.3">
      <c r="C23" s="772"/>
      <c r="D23" s="783">
        <v>17</v>
      </c>
      <c r="E23" s="1109"/>
      <c r="F23" s="1110"/>
      <c r="G23" s="1110"/>
      <c r="H23" s="1110"/>
      <c r="I23" s="1110"/>
      <c r="J23" s="1110"/>
      <c r="K23" s="1110"/>
      <c r="L23" s="1110"/>
      <c r="M23" s="1110"/>
      <c r="N23" s="1110"/>
      <c r="O23" s="1110"/>
      <c r="P23" s="1110"/>
      <c r="Q23" s="1110"/>
      <c r="R23" s="1110"/>
      <c r="S23" s="1110"/>
      <c r="T23" s="1110"/>
      <c r="U23" s="1110"/>
      <c r="V23" s="1110"/>
      <c r="W23" s="1110"/>
      <c r="X23" s="1110"/>
      <c r="Y23" s="1110"/>
      <c r="Z23" s="1110"/>
      <c r="AA23" s="1110"/>
      <c r="AB23" s="1110"/>
      <c r="AC23" s="1110"/>
      <c r="AD23" s="1110"/>
      <c r="AE23" s="1110"/>
      <c r="AF23" s="1110"/>
      <c r="AG23" s="1110"/>
      <c r="AH23" s="1110"/>
      <c r="AI23" s="1110"/>
      <c r="AJ23" s="1110"/>
      <c r="AK23" s="1110"/>
      <c r="AL23" s="1110"/>
      <c r="AM23" s="1110"/>
      <c r="AN23" s="1110"/>
      <c r="AO23" s="1110"/>
      <c r="AP23" s="1110"/>
      <c r="AQ23" s="784"/>
      <c r="AR23" s="785"/>
      <c r="AS23" s="785"/>
      <c r="AT23" s="1085">
        <v>0</v>
      </c>
      <c r="AU23" s="1086"/>
      <c r="AV23" s="1086"/>
      <c r="AW23" s="1086"/>
      <c r="AX23" s="1086"/>
      <c r="AY23" s="1086"/>
      <c r="AZ23" s="1086"/>
      <c r="BA23" s="1086"/>
      <c r="BB23" s="1086"/>
      <c r="BC23" s="1086"/>
      <c r="BD23" s="1086"/>
      <c r="BE23" s="1086"/>
      <c r="BF23" s="1086"/>
      <c r="BG23" s="786"/>
      <c r="BH23" s="787"/>
      <c r="BI23" s="787"/>
      <c r="BJ23" s="1085">
        <v>0</v>
      </c>
      <c r="BK23" s="1086"/>
      <c r="BL23" s="1086"/>
      <c r="BM23" s="1086"/>
      <c r="BN23" s="1086"/>
      <c r="BO23" s="1086"/>
      <c r="BP23" s="1086"/>
      <c r="BQ23" s="1086"/>
      <c r="BR23" s="1086"/>
      <c r="BS23" s="1086"/>
      <c r="BT23" s="1086"/>
      <c r="BU23" s="1086"/>
      <c r="BV23" s="1086"/>
      <c r="BW23" s="786"/>
      <c r="BX23" s="787"/>
      <c r="BY23" s="787"/>
      <c r="BZ23" s="1087">
        <f t="shared" si="0"/>
        <v>0</v>
      </c>
      <c r="CA23" s="1088"/>
      <c r="CB23" s="1088"/>
      <c r="CC23" s="1088"/>
      <c r="CD23" s="1088"/>
      <c r="CE23" s="1088"/>
      <c r="CF23" s="1088"/>
      <c r="CG23" s="1088"/>
      <c r="CH23" s="1088"/>
      <c r="CI23" s="1088"/>
      <c r="CJ23" s="1088"/>
      <c r="CK23" s="1088"/>
      <c r="CL23" s="1088"/>
      <c r="CM23" s="784"/>
      <c r="CN23" s="785"/>
      <c r="CO23" s="1089"/>
      <c r="CP23" s="1090"/>
      <c r="CQ23" s="1090"/>
      <c r="CR23" s="1090"/>
      <c r="CS23" s="1090"/>
      <c r="CT23" s="1090"/>
      <c r="CU23" s="1090"/>
      <c r="CV23" s="1090"/>
      <c r="CW23" s="1090"/>
      <c r="CX23" s="1090"/>
      <c r="CY23" s="1090"/>
      <c r="CZ23" s="1090"/>
      <c r="DA23" s="1090"/>
      <c r="DB23" s="1090"/>
      <c r="DC23" s="1090"/>
      <c r="DD23" s="1090"/>
      <c r="DE23" s="1090"/>
      <c r="DF23" s="1090"/>
      <c r="DG23" s="1090"/>
      <c r="DH23" s="1090"/>
      <c r="DJ23" s="772"/>
    </row>
    <row r="24" spans="3:196" ht="18.75" customHeight="1" thickBot="1" x14ac:dyDescent="0.35">
      <c r="C24" s="772"/>
      <c r="D24" s="783">
        <v>18</v>
      </c>
      <c r="E24" s="1091" t="str">
        <f ca="1">' '!A212</f>
        <v>TOTAL ressources internes</v>
      </c>
      <c r="F24" s="1092"/>
      <c r="G24" s="1092"/>
      <c r="H24" s="1092"/>
      <c r="I24" s="1092"/>
      <c r="J24" s="1092"/>
      <c r="K24" s="1092"/>
      <c r="L24" s="1092"/>
      <c r="M24" s="1092"/>
      <c r="N24" s="1092"/>
      <c r="O24" s="1092"/>
      <c r="P24" s="1092"/>
      <c r="Q24" s="1092"/>
      <c r="R24" s="1092"/>
      <c r="S24" s="1092"/>
      <c r="T24" s="1092"/>
      <c r="U24" s="1092"/>
      <c r="V24" s="1092"/>
      <c r="W24" s="1092"/>
      <c r="X24" s="1092"/>
      <c r="Y24" s="1092"/>
      <c r="Z24" s="1092"/>
      <c r="AA24" s="1092"/>
      <c r="AB24" s="1092"/>
      <c r="AC24" s="1092"/>
      <c r="AD24" s="1092"/>
      <c r="AE24" s="1092"/>
      <c r="AF24" s="1092"/>
      <c r="AG24" s="1092"/>
      <c r="AH24" s="1092"/>
      <c r="AI24" s="1092"/>
      <c r="AJ24" s="1092"/>
      <c r="AK24" s="1092"/>
      <c r="AL24" s="1092"/>
      <c r="AM24" s="1092"/>
      <c r="AN24" s="1092"/>
      <c r="AO24" s="1092"/>
      <c r="AP24" s="1092"/>
      <c r="AQ24" s="788"/>
      <c r="AR24" s="789"/>
      <c r="AS24" s="789"/>
      <c r="AT24" s="1093">
        <f>SUM(AT7:BF23)</f>
        <v>640</v>
      </c>
      <c r="AU24" s="1094"/>
      <c r="AV24" s="1094"/>
      <c r="AW24" s="1094"/>
      <c r="AX24" s="1094"/>
      <c r="AY24" s="1094"/>
      <c r="AZ24" s="1094"/>
      <c r="BA24" s="1094"/>
      <c r="BB24" s="1094"/>
      <c r="BC24" s="1094"/>
      <c r="BD24" s="1094"/>
      <c r="BE24" s="1094"/>
      <c r="BF24" s="1094"/>
      <c r="BG24" s="790"/>
      <c r="BH24" s="791"/>
      <c r="BI24" s="791"/>
      <c r="BJ24" s="1093">
        <f>SUM(BJ7:BV23)</f>
        <v>0</v>
      </c>
      <c r="BK24" s="1094"/>
      <c r="BL24" s="1094"/>
      <c r="BM24" s="1094"/>
      <c r="BN24" s="1094"/>
      <c r="BO24" s="1094"/>
      <c r="BP24" s="1094"/>
      <c r="BQ24" s="1094"/>
      <c r="BR24" s="1094"/>
      <c r="BS24" s="1094"/>
      <c r="BT24" s="1094"/>
      <c r="BU24" s="1094"/>
      <c r="BV24" s="1094"/>
      <c r="BW24" s="790"/>
      <c r="BX24" s="791"/>
      <c r="BY24" s="791"/>
      <c r="BZ24" s="1093">
        <f t="shared" si="0"/>
        <v>640</v>
      </c>
      <c r="CA24" s="1094"/>
      <c r="CB24" s="1094"/>
      <c r="CC24" s="1094"/>
      <c r="CD24" s="1094"/>
      <c r="CE24" s="1094"/>
      <c r="CF24" s="1094"/>
      <c r="CG24" s="1094"/>
      <c r="CH24" s="1094"/>
      <c r="CI24" s="1094"/>
      <c r="CJ24" s="1094"/>
      <c r="CK24" s="1094"/>
      <c r="CL24" s="1094"/>
      <c r="CM24" s="788"/>
      <c r="CN24" s="789"/>
      <c r="CO24" s="1095">
        <f>IF(AT24&lt;&gt;0,BJ24/AT24,0)</f>
        <v>0</v>
      </c>
      <c r="CP24" s="1096"/>
      <c r="CQ24" s="1096"/>
      <c r="CR24" s="1096"/>
      <c r="CS24" s="1096"/>
      <c r="CT24" s="1096"/>
      <c r="CU24" s="1096"/>
      <c r="CV24" s="1096"/>
      <c r="CW24" s="1096"/>
      <c r="CX24" s="1096"/>
      <c r="CY24" s="1096"/>
      <c r="CZ24" s="1096"/>
      <c r="DA24" s="1096"/>
      <c r="DB24" s="1096"/>
      <c r="DC24" s="1096"/>
      <c r="DD24" s="1096"/>
      <c r="DE24" s="1096"/>
      <c r="DF24" s="1096"/>
      <c r="DG24" s="1096"/>
      <c r="DH24" s="1096"/>
      <c r="DJ24" s="772"/>
    </row>
    <row r="25" spans="3:196" ht="14.4" thickTop="1" x14ac:dyDescent="0.3">
      <c r="C25" s="792"/>
      <c r="D25" s="793"/>
      <c r="E25" s="793"/>
      <c r="F25" s="793"/>
      <c r="G25" s="793"/>
      <c r="H25" s="793"/>
      <c r="I25" s="793"/>
      <c r="J25" s="793"/>
      <c r="K25" s="793"/>
      <c r="L25" s="793"/>
      <c r="M25" s="793"/>
      <c r="N25" s="793"/>
      <c r="O25" s="793"/>
      <c r="P25" s="793"/>
      <c r="Q25" s="793"/>
      <c r="R25" s="793"/>
      <c r="S25" s="793"/>
      <c r="T25" s="793"/>
      <c r="U25" s="793"/>
      <c r="V25" s="793"/>
      <c r="W25" s="793"/>
      <c r="X25" s="793"/>
      <c r="Y25" s="793"/>
      <c r="Z25" s="793"/>
      <c r="AA25" s="793"/>
      <c r="AB25" s="793"/>
      <c r="AC25" s="793"/>
      <c r="AD25" s="793"/>
      <c r="AE25" s="793"/>
      <c r="AF25" s="793"/>
      <c r="AG25" s="793"/>
      <c r="AH25" s="793"/>
      <c r="AI25" s="793"/>
      <c r="AJ25" s="793"/>
      <c r="AK25" s="793"/>
      <c r="AL25" s="793"/>
      <c r="AM25" s="793"/>
      <c r="AN25" s="793"/>
      <c r="AO25" s="793"/>
      <c r="AP25" s="793"/>
      <c r="AQ25" s="793"/>
      <c r="AR25" s="793"/>
      <c r="AS25" s="793"/>
      <c r="AT25" s="793"/>
      <c r="AU25" s="793"/>
      <c r="AV25" s="793"/>
      <c r="AW25" s="793"/>
      <c r="AX25" s="793"/>
      <c r="AY25" s="793"/>
      <c r="AZ25" s="793"/>
      <c r="BA25" s="793"/>
      <c r="BB25" s="793"/>
      <c r="BC25" s="793"/>
      <c r="BD25" s="793"/>
      <c r="BE25" s="793"/>
      <c r="BF25" s="793"/>
      <c r="BG25" s="793"/>
      <c r="BH25" s="793"/>
      <c r="BI25" s="793"/>
      <c r="BJ25" s="793"/>
      <c r="BK25" s="793"/>
      <c r="BL25" s="793"/>
      <c r="BM25" s="793"/>
      <c r="BN25" s="793"/>
      <c r="BO25" s="793"/>
      <c r="BP25" s="793"/>
      <c r="BQ25" s="793"/>
      <c r="BR25" s="793"/>
      <c r="BS25" s="793"/>
      <c r="BT25" s="793"/>
      <c r="BU25" s="793"/>
      <c r="BV25" s="793"/>
      <c r="BW25" s="793"/>
      <c r="BX25" s="793"/>
      <c r="BY25" s="793"/>
      <c r="BZ25" s="793"/>
      <c r="CA25" s="793"/>
      <c r="CB25" s="793"/>
      <c r="CC25" s="793"/>
      <c r="CD25" s="793"/>
      <c r="CE25" s="793"/>
      <c r="CF25" s="793"/>
      <c r="CG25" s="793"/>
      <c r="CH25" s="793"/>
      <c r="CI25" s="793"/>
      <c r="CJ25" s="793"/>
      <c r="CK25" s="793"/>
      <c r="CL25" s="793"/>
      <c r="CM25" s="793"/>
      <c r="CN25" s="793"/>
      <c r="CO25" s="793"/>
      <c r="CP25" s="793"/>
      <c r="CQ25" s="793"/>
      <c r="CR25" s="793"/>
      <c r="CS25" s="793"/>
      <c r="CT25" s="793"/>
      <c r="CU25" s="793"/>
      <c r="CV25" s="793"/>
      <c r="CW25" s="793"/>
      <c r="CX25" s="793"/>
      <c r="CY25" s="793"/>
      <c r="CZ25" s="793"/>
      <c r="DA25" s="793"/>
      <c r="DB25" s="793"/>
      <c r="DC25" s="793"/>
      <c r="DD25" s="793"/>
      <c r="DE25" s="793"/>
      <c r="DF25" s="793"/>
      <c r="DG25" s="793"/>
      <c r="DH25" s="793"/>
      <c r="DI25" s="793"/>
      <c r="DJ25" s="772"/>
    </row>
    <row r="26" spans="3:196" ht="9" customHeight="1" x14ac:dyDescent="0.3">
      <c r="C26" s="794"/>
      <c r="D26" s="775"/>
      <c r="E26" s="775"/>
      <c r="F26" s="775"/>
      <c r="G26" s="775"/>
      <c r="H26" s="775"/>
      <c r="I26" s="775"/>
      <c r="J26" s="775"/>
      <c r="K26" s="775"/>
      <c r="L26" s="775"/>
      <c r="M26" s="775"/>
      <c r="N26" s="775"/>
      <c r="O26" s="775"/>
      <c r="P26" s="775"/>
      <c r="Q26" s="775"/>
      <c r="R26" s="775"/>
      <c r="S26" s="775"/>
      <c r="T26" s="775"/>
      <c r="U26" s="775"/>
      <c r="V26" s="775"/>
      <c r="W26" s="775"/>
      <c r="X26" s="775"/>
      <c r="Y26" s="775"/>
      <c r="Z26" s="775"/>
      <c r="AA26" s="775"/>
      <c r="AB26" s="775"/>
      <c r="AC26" s="775"/>
      <c r="AD26" s="775"/>
      <c r="AE26" s="775"/>
      <c r="AF26" s="775"/>
      <c r="AG26" s="775"/>
      <c r="AH26" s="775"/>
      <c r="AI26" s="775"/>
      <c r="AJ26" s="775"/>
      <c r="AK26" s="775"/>
      <c r="AL26" s="775"/>
      <c r="AM26" s="775"/>
      <c r="AN26" s="775"/>
      <c r="AO26" s="775"/>
      <c r="AP26" s="775"/>
      <c r="AQ26" s="775"/>
      <c r="AR26" s="775"/>
      <c r="AS26" s="775"/>
      <c r="AT26" s="775"/>
      <c r="AU26" s="775"/>
      <c r="AV26" s="775"/>
      <c r="AW26" s="775"/>
      <c r="AX26" s="775"/>
      <c r="AY26" s="775"/>
      <c r="AZ26" s="775"/>
      <c r="BA26" s="775"/>
      <c r="BB26" s="775"/>
      <c r="BC26" s="775"/>
      <c r="BD26" s="775"/>
      <c r="BE26" s="775"/>
      <c r="BF26" s="775"/>
      <c r="BG26" s="775"/>
      <c r="BH26" s="775"/>
      <c r="BI26" s="775"/>
      <c r="BJ26" s="775"/>
      <c r="BK26" s="775"/>
      <c r="BL26" s="775"/>
      <c r="BM26" s="775"/>
      <c r="BN26" s="775"/>
      <c r="BO26" s="775"/>
      <c r="BP26" s="775"/>
      <c r="BQ26" s="775"/>
      <c r="BR26" s="775"/>
      <c r="BS26" s="775"/>
      <c r="BT26" s="775"/>
      <c r="BU26" s="775"/>
      <c r="BV26" s="775"/>
      <c r="BW26" s="775"/>
      <c r="BX26" s="775"/>
      <c r="BY26" s="775"/>
      <c r="BZ26" s="775"/>
      <c r="CA26" s="775"/>
      <c r="CB26" s="775"/>
      <c r="CC26" s="775"/>
      <c r="CD26" s="775"/>
      <c r="CE26" s="775"/>
      <c r="CF26" s="775"/>
      <c r="CG26" s="775"/>
      <c r="CH26" s="775"/>
      <c r="CI26" s="775"/>
      <c r="CJ26" s="775"/>
      <c r="CK26" s="775"/>
      <c r="CL26" s="775"/>
      <c r="CM26" s="775"/>
      <c r="CN26" s="775"/>
      <c r="CO26" s="775"/>
      <c r="CP26" s="775"/>
      <c r="CQ26" s="775"/>
      <c r="CR26" s="775"/>
      <c r="CS26" s="775"/>
      <c r="CT26" s="775"/>
      <c r="CU26" s="775"/>
      <c r="CV26" s="775"/>
      <c r="CW26" s="775"/>
      <c r="CX26" s="775"/>
      <c r="CY26" s="775"/>
      <c r="CZ26" s="775"/>
      <c r="DA26" s="775"/>
      <c r="DB26" s="775"/>
      <c r="DC26" s="775"/>
      <c r="DD26" s="775"/>
      <c r="DE26" s="775"/>
      <c r="DF26" s="775"/>
      <c r="DG26" s="775"/>
      <c r="DH26" s="775"/>
      <c r="DI26" s="775"/>
      <c r="DJ26" s="795"/>
    </row>
    <row r="27" spans="3:196" s="773" customFormat="1" ht="11.25" customHeight="1" x14ac:dyDescent="0.3">
      <c r="C27" s="796"/>
      <c r="D27" s="771"/>
      <c r="E27" s="771"/>
      <c r="F27" s="771"/>
      <c r="G27" s="771"/>
      <c r="H27" s="771"/>
      <c r="I27" s="771"/>
      <c r="J27" s="771"/>
      <c r="K27" s="771"/>
      <c r="L27" s="771"/>
      <c r="M27" s="771"/>
      <c r="N27" s="771"/>
      <c r="O27" s="771"/>
      <c r="P27" s="771"/>
      <c r="Q27" s="771"/>
      <c r="R27" s="771"/>
      <c r="S27" s="771"/>
      <c r="T27" s="771"/>
      <c r="U27" s="771"/>
      <c r="V27" s="771"/>
      <c r="W27" s="771"/>
      <c r="X27" s="771"/>
      <c r="Y27" s="771"/>
      <c r="Z27" s="771"/>
      <c r="AA27" s="771"/>
      <c r="AB27" s="771"/>
      <c r="AC27" s="771"/>
      <c r="AD27" s="771"/>
      <c r="AE27" s="771"/>
      <c r="AF27" s="771"/>
      <c r="AG27" s="771"/>
      <c r="AH27" s="771"/>
      <c r="AI27" s="771"/>
      <c r="AJ27" s="771"/>
      <c r="AK27" s="771"/>
      <c r="AL27" s="771"/>
      <c r="AM27" s="771"/>
      <c r="AN27" s="771"/>
      <c r="AO27" s="771"/>
      <c r="AP27" s="771"/>
      <c r="AQ27" s="771"/>
      <c r="AR27" s="771"/>
      <c r="AS27" s="771"/>
      <c r="AT27" s="771"/>
      <c r="AU27" s="771"/>
      <c r="AV27" s="771"/>
      <c r="AW27" s="771"/>
      <c r="AX27" s="771"/>
      <c r="AY27" s="771"/>
      <c r="AZ27" s="771"/>
      <c r="BA27" s="771"/>
      <c r="BB27" s="771"/>
      <c r="BC27" s="771"/>
      <c r="BD27" s="771"/>
      <c r="BE27" s="771"/>
      <c r="BF27" s="771"/>
      <c r="BG27" s="771"/>
      <c r="BH27" s="771"/>
      <c r="BI27" s="771"/>
      <c r="BJ27" s="771"/>
      <c r="BK27" s="771"/>
      <c r="BL27" s="771"/>
      <c r="BM27" s="771"/>
      <c r="BN27" s="771"/>
      <c r="BO27" s="771"/>
      <c r="BP27" s="771"/>
      <c r="BQ27" s="771"/>
      <c r="BR27" s="771"/>
      <c r="BS27" s="771"/>
      <c r="BT27" s="771"/>
      <c r="BU27" s="771"/>
      <c r="BV27" s="771"/>
      <c r="BW27" s="771"/>
      <c r="BX27" s="771"/>
      <c r="BY27" s="771"/>
      <c r="BZ27" s="771"/>
      <c r="CA27" s="771"/>
      <c r="CB27" s="771"/>
      <c r="CC27" s="771"/>
      <c r="CD27" s="771"/>
      <c r="CE27" s="771"/>
      <c r="CF27" s="771"/>
      <c r="CG27" s="771"/>
      <c r="CH27" s="771"/>
      <c r="CI27" s="771"/>
      <c r="CJ27" s="771"/>
      <c r="CK27" s="771"/>
      <c r="CL27" s="771"/>
      <c r="CM27" s="771"/>
      <c r="CN27" s="771"/>
      <c r="CO27" s="771"/>
      <c r="CP27" s="771"/>
      <c r="CQ27" s="771"/>
      <c r="CR27" s="771"/>
      <c r="CS27" s="771"/>
      <c r="CT27" s="771"/>
      <c r="CU27" s="771"/>
      <c r="CV27" s="771"/>
      <c r="CW27" s="771"/>
      <c r="CX27" s="771"/>
      <c r="CY27" s="771"/>
      <c r="CZ27" s="771"/>
      <c r="DA27" s="771"/>
      <c r="DB27" s="771"/>
      <c r="DC27" s="771"/>
      <c r="DD27" s="771"/>
      <c r="DE27" s="771"/>
      <c r="DF27" s="771"/>
      <c r="DG27" s="771"/>
      <c r="DH27" s="771"/>
      <c r="DI27" s="771"/>
      <c r="DJ27" s="772"/>
      <c r="DK27" s="766"/>
      <c r="DL27" s="766"/>
      <c r="DM27" s="766"/>
      <c r="DN27" s="766"/>
      <c r="DO27" s="766"/>
      <c r="DP27" s="766"/>
      <c r="DQ27" s="766"/>
      <c r="DR27" s="766"/>
      <c r="DS27" s="766"/>
      <c r="DT27" s="766"/>
      <c r="DU27" s="766"/>
      <c r="DV27" s="766"/>
      <c r="DW27" s="766"/>
      <c r="DX27" s="766"/>
      <c r="DY27" s="766"/>
      <c r="DZ27" s="766"/>
      <c r="EA27" s="766"/>
      <c r="EB27" s="766"/>
      <c r="EC27" s="766"/>
      <c r="ED27" s="766"/>
      <c r="EE27" s="766"/>
      <c r="EF27" s="766"/>
      <c r="EG27" s="766"/>
      <c r="EH27" s="766"/>
      <c r="EI27" s="766"/>
      <c r="EJ27" s="766"/>
      <c r="EK27" s="766"/>
      <c r="EL27" s="766"/>
      <c r="EM27" s="766"/>
      <c r="EN27" s="766"/>
      <c r="EO27" s="766"/>
      <c r="EP27" s="766"/>
      <c r="EQ27" s="766"/>
      <c r="ER27" s="766"/>
      <c r="ES27" s="766"/>
      <c r="ET27" s="766"/>
      <c r="EU27" s="766"/>
      <c r="EV27" s="766"/>
      <c r="EW27" s="766"/>
      <c r="EX27" s="766"/>
      <c r="EY27" s="766"/>
      <c r="EZ27" s="766"/>
      <c r="FA27" s="766"/>
      <c r="FB27" s="766"/>
      <c r="FC27" s="766"/>
      <c r="FD27" s="766"/>
      <c r="FE27" s="766"/>
      <c r="FF27" s="766"/>
      <c r="FG27" s="766"/>
      <c r="FH27" s="766"/>
      <c r="FI27" s="766"/>
      <c r="FJ27" s="766"/>
      <c r="FK27" s="766"/>
      <c r="FL27" s="766"/>
      <c r="FM27" s="766"/>
      <c r="FN27" s="766"/>
      <c r="FO27" s="766"/>
      <c r="FP27" s="766"/>
      <c r="FQ27" s="766"/>
      <c r="FR27" s="766"/>
      <c r="FS27" s="766"/>
      <c r="FT27" s="766"/>
      <c r="FU27" s="766"/>
      <c r="FV27" s="766"/>
      <c r="FW27" s="766"/>
      <c r="FX27" s="766"/>
      <c r="FY27" s="766"/>
      <c r="FZ27" s="766"/>
      <c r="GA27" s="766"/>
      <c r="GB27" s="766"/>
      <c r="GC27" s="766"/>
      <c r="GD27" s="766"/>
      <c r="GE27" s="766"/>
      <c r="GF27" s="766"/>
      <c r="GG27" s="766"/>
      <c r="GH27" s="766"/>
      <c r="GI27" s="766"/>
      <c r="GJ27" s="766"/>
      <c r="GK27" s="766"/>
      <c r="GL27" s="766"/>
      <c r="GM27" s="766"/>
      <c r="GN27" s="766"/>
    </row>
    <row r="28" spans="3:196" ht="24.75" customHeight="1" x14ac:dyDescent="0.3">
      <c r="C28" s="772"/>
      <c r="D28" s="775"/>
      <c r="E28" s="1097" t="str">
        <f ca="1">' '!A207</f>
        <v>Ressources externes</v>
      </c>
      <c r="F28" s="1097"/>
      <c r="G28" s="1097"/>
      <c r="H28" s="1097"/>
      <c r="I28" s="1097"/>
      <c r="J28" s="1097"/>
      <c r="K28" s="1097"/>
      <c r="L28" s="1097"/>
      <c r="M28" s="1097"/>
      <c r="N28" s="1097"/>
      <c r="O28" s="1097"/>
      <c r="P28" s="1097"/>
      <c r="Q28" s="1097"/>
      <c r="R28" s="1097"/>
      <c r="S28" s="1097"/>
      <c r="T28" s="1097"/>
      <c r="U28" s="1097"/>
      <c r="V28" s="1097"/>
      <c r="W28" s="1097"/>
      <c r="X28" s="1097"/>
      <c r="Y28" s="1097"/>
      <c r="Z28" s="1097"/>
      <c r="AA28" s="1097"/>
      <c r="AB28" s="1097"/>
      <c r="AC28" s="1097"/>
      <c r="AD28" s="1097"/>
      <c r="AE28" s="1097"/>
      <c r="AF28" s="1097"/>
      <c r="AG28" s="1097"/>
      <c r="AH28" s="1097"/>
      <c r="AI28" s="1097"/>
      <c r="AJ28" s="1097"/>
      <c r="AK28" s="1097"/>
      <c r="AL28" s="1097"/>
      <c r="AM28" s="1097"/>
      <c r="AN28" s="1097"/>
      <c r="AO28" s="1097"/>
      <c r="AP28" s="1097"/>
      <c r="AQ28" s="776"/>
      <c r="AR28" s="777"/>
      <c r="AS28" s="777"/>
      <c r="AT28" s="1098" t="str">
        <f ca="1">' '!A217&amp;" ["&amp;Logo!D13&amp;"]"</f>
        <v>Plan [CHF]</v>
      </c>
      <c r="AU28" s="1098"/>
      <c r="AV28" s="1098"/>
      <c r="AW28" s="1098"/>
      <c r="AX28" s="1098"/>
      <c r="AY28" s="1098"/>
      <c r="AZ28" s="1098"/>
      <c r="BA28" s="1098"/>
      <c r="BB28" s="1098"/>
      <c r="BC28" s="1098"/>
      <c r="BD28" s="1098"/>
      <c r="BE28" s="1098"/>
      <c r="BF28" s="1098"/>
      <c r="BG28" s="778"/>
      <c r="BH28" s="779"/>
      <c r="BI28" s="779"/>
      <c r="BJ28" s="1098" t="str">
        <f ca="1">' '!A218&amp;" ["&amp;Logo!D13&amp;"]"</f>
        <v>Réel [CHF]</v>
      </c>
      <c r="BK28" s="1098"/>
      <c r="BL28" s="1098"/>
      <c r="BM28" s="1098"/>
      <c r="BN28" s="1098"/>
      <c r="BO28" s="1098"/>
      <c r="BP28" s="1098"/>
      <c r="BQ28" s="1098"/>
      <c r="BR28" s="1098"/>
      <c r="BS28" s="1098"/>
      <c r="BT28" s="1098"/>
      <c r="BU28" s="1098"/>
      <c r="BV28" s="1098"/>
      <c r="BW28" s="778"/>
      <c r="BX28" s="779"/>
      <c r="BY28" s="779"/>
      <c r="BZ28" s="1098" t="str">
        <f ca="1">' '!A219&amp;" ["&amp;Logo!D13&amp;"]"</f>
        <v>Solde [CHF]</v>
      </c>
      <c r="CA28" s="1098"/>
      <c r="CB28" s="1098"/>
      <c r="CC28" s="1098"/>
      <c r="CD28" s="1098"/>
      <c r="CE28" s="1098"/>
      <c r="CF28" s="1098"/>
      <c r="CG28" s="1098"/>
      <c r="CH28" s="1098"/>
      <c r="CI28" s="1098"/>
      <c r="CJ28" s="1098"/>
      <c r="CK28" s="1098"/>
      <c r="CL28" s="1098"/>
      <c r="CM28" s="780"/>
      <c r="CN28" s="781"/>
      <c r="CO28" s="1099" t="str">
        <f ca="1">CO5</f>
        <v>Remarques</v>
      </c>
      <c r="CP28" s="1099"/>
      <c r="CQ28" s="1099"/>
      <c r="CR28" s="1099"/>
      <c r="CS28" s="1099"/>
      <c r="CT28" s="1099"/>
      <c r="CU28" s="1099"/>
      <c r="CV28" s="1099"/>
      <c r="CW28" s="1099"/>
      <c r="CX28" s="1099"/>
      <c r="CY28" s="1099"/>
      <c r="CZ28" s="1099"/>
      <c r="DA28" s="1099"/>
      <c r="DB28" s="1099"/>
      <c r="DC28" s="1099"/>
      <c r="DD28" s="1099"/>
      <c r="DE28" s="1099"/>
      <c r="DF28" s="1099"/>
      <c r="DG28" s="1099"/>
      <c r="DH28" s="1099"/>
      <c r="DJ28" s="772"/>
    </row>
    <row r="29" spans="3:196" ht="7.5" customHeight="1" x14ac:dyDescent="0.3">
      <c r="C29" s="772"/>
      <c r="D29" s="775"/>
      <c r="E29" s="782"/>
      <c r="F29" s="782"/>
      <c r="G29" s="782"/>
      <c r="H29" s="782"/>
      <c r="I29" s="782"/>
      <c r="J29" s="782"/>
      <c r="K29" s="782"/>
      <c r="L29" s="782"/>
      <c r="M29" s="782"/>
      <c r="N29" s="782"/>
      <c r="O29" s="782"/>
      <c r="P29" s="782"/>
      <c r="Q29" s="782"/>
      <c r="R29" s="782"/>
      <c r="S29" s="782"/>
      <c r="T29" s="782"/>
      <c r="U29" s="782"/>
      <c r="V29" s="782"/>
      <c r="W29" s="782"/>
      <c r="X29" s="782"/>
      <c r="Y29" s="782"/>
      <c r="Z29" s="782"/>
      <c r="AA29" s="782"/>
      <c r="AB29" s="782"/>
      <c r="AC29" s="782"/>
      <c r="AD29" s="782"/>
      <c r="AE29" s="782"/>
      <c r="AF29" s="782"/>
      <c r="AG29" s="782"/>
      <c r="AH29" s="782"/>
      <c r="AI29" s="782"/>
      <c r="AJ29" s="782"/>
      <c r="AK29" s="782"/>
      <c r="AL29" s="782"/>
      <c r="AM29" s="782"/>
      <c r="AN29" s="782"/>
      <c r="AO29" s="782"/>
      <c r="AP29" s="782"/>
      <c r="AQ29" s="782"/>
      <c r="AR29" s="782"/>
      <c r="AS29" s="782"/>
      <c r="AT29" s="782"/>
      <c r="AU29" s="782"/>
      <c r="AV29" s="782"/>
      <c r="AW29" s="782"/>
      <c r="AX29" s="782"/>
      <c r="AY29" s="782"/>
      <c r="AZ29" s="782"/>
      <c r="BA29" s="782"/>
      <c r="BB29" s="782"/>
      <c r="BC29" s="782"/>
      <c r="BD29" s="782"/>
      <c r="BE29" s="782"/>
      <c r="BF29" s="782"/>
      <c r="BG29" s="782"/>
      <c r="BH29" s="782"/>
      <c r="BI29" s="782"/>
      <c r="BJ29" s="782"/>
      <c r="BK29" s="782"/>
      <c r="BL29" s="782"/>
      <c r="BM29" s="782"/>
      <c r="BN29" s="782"/>
      <c r="BO29" s="782"/>
      <c r="BP29" s="782"/>
      <c r="BQ29" s="782"/>
      <c r="BR29" s="782"/>
      <c r="BS29" s="782"/>
      <c r="BT29" s="782"/>
      <c r="BU29" s="782"/>
      <c r="BV29" s="782"/>
      <c r="BW29" s="782"/>
      <c r="BX29" s="782"/>
      <c r="BY29" s="782"/>
      <c r="BZ29" s="782"/>
      <c r="CA29" s="782"/>
      <c r="CB29" s="782"/>
      <c r="CC29" s="782"/>
      <c r="CD29" s="782"/>
      <c r="CE29" s="782"/>
      <c r="CF29" s="782"/>
      <c r="CG29" s="782"/>
      <c r="CH29" s="782"/>
      <c r="CI29" s="782"/>
      <c r="CJ29" s="782"/>
      <c r="CK29" s="782"/>
      <c r="CL29" s="782"/>
      <c r="CM29" s="782"/>
      <c r="CN29" s="782"/>
      <c r="CO29" s="782"/>
      <c r="CP29" s="782"/>
      <c r="CQ29" s="782"/>
      <c r="CR29" s="782"/>
      <c r="CS29" s="782"/>
      <c r="CT29" s="782"/>
      <c r="CU29" s="782"/>
      <c r="CV29" s="782"/>
      <c r="CW29" s="782"/>
      <c r="CX29" s="782"/>
      <c r="CY29" s="782"/>
      <c r="CZ29" s="782"/>
      <c r="DA29" s="782"/>
      <c r="DB29" s="782"/>
      <c r="DC29" s="782"/>
      <c r="DD29" s="782"/>
      <c r="DE29" s="782"/>
      <c r="DF29" s="782"/>
      <c r="DG29" s="782"/>
      <c r="DH29" s="782"/>
      <c r="DI29" s="763"/>
      <c r="DJ29" s="772"/>
    </row>
    <row r="30" spans="3:196" ht="18.75" customHeight="1" x14ac:dyDescent="0.3">
      <c r="C30" s="772"/>
      <c r="D30" s="783">
        <v>1</v>
      </c>
      <c r="E30" s="1107" t="str">
        <f ca="1">' '!A215</f>
        <v>Charges de personnel (externes)</v>
      </c>
      <c r="F30" s="1107"/>
      <c r="G30" s="1107"/>
      <c r="H30" s="1107"/>
      <c r="I30" s="1107"/>
      <c r="J30" s="1107"/>
      <c r="K30" s="1107"/>
      <c r="L30" s="1107"/>
      <c r="M30" s="1107"/>
      <c r="N30" s="1107"/>
      <c r="O30" s="1107"/>
      <c r="P30" s="1107"/>
      <c r="Q30" s="1107"/>
      <c r="R30" s="1107"/>
      <c r="S30" s="1107"/>
      <c r="T30" s="1107"/>
      <c r="U30" s="1107"/>
      <c r="V30" s="1107"/>
      <c r="W30" s="1107"/>
      <c r="X30" s="1107"/>
      <c r="Y30" s="1107"/>
      <c r="Z30" s="1107"/>
      <c r="AA30" s="1107"/>
      <c r="AB30" s="1107"/>
      <c r="AC30" s="1107"/>
      <c r="AD30" s="1107"/>
      <c r="AE30" s="1107"/>
      <c r="AF30" s="1107"/>
      <c r="AG30" s="1107"/>
      <c r="AH30" s="1107"/>
      <c r="AI30" s="1107"/>
      <c r="AJ30" s="1107"/>
      <c r="AK30" s="1107"/>
      <c r="AL30" s="1107"/>
      <c r="AM30" s="1107"/>
      <c r="AN30" s="1107"/>
      <c r="AO30" s="1107"/>
      <c r="AP30" s="1107"/>
      <c r="AQ30" s="784"/>
      <c r="AR30" s="785"/>
      <c r="AS30" s="785"/>
      <c r="AT30" s="1087">
        <f>Projektteam!AG33</f>
        <v>0</v>
      </c>
      <c r="AU30" s="1087"/>
      <c r="AV30" s="1087"/>
      <c r="AW30" s="1087"/>
      <c r="AX30" s="1087"/>
      <c r="AY30" s="1087"/>
      <c r="AZ30" s="1087"/>
      <c r="BA30" s="1087"/>
      <c r="BB30" s="1087"/>
      <c r="BC30" s="1087"/>
      <c r="BD30" s="1087"/>
      <c r="BE30" s="1087"/>
      <c r="BF30" s="1087"/>
      <c r="BG30" s="786"/>
      <c r="BH30" s="787"/>
      <c r="BI30" s="787"/>
      <c r="BJ30" s="1087">
        <f>Projektteam!AL33</f>
        <v>0</v>
      </c>
      <c r="BK30" s="1087"/>
      <c r="BL30" s="1087"/>
      <c r="BM30" s="1087"/>
      <c r="BN30" s="1087"/>
      <c r="BO30" s="1087"/>
      <c r="BP30" s="1087"/>
      <c r="BQ30" s="1087"/>
      <c r="BR30" s="1087"/>
      <c r="BS30" s="1087"/>
      <c r="BT30" s="1087"/>
      <c r="BU30" s="1087"/>
      <c r="BV30" s="1087"/>
      <c r="BW30" s="786"/>
      <c r="BX30" s="787"/>
      <c r="BY30" s="787"/>
      <c r="BZ30" s="1087">
        <f t="shared" ref="BZ30:BZ59" si="1">AT30-BJ30</f>
        <v>0</v>
      </c>
      <c r="CA30" s="1087"/>
      <c r="CB30" s="1087"/>
      <c r="CC30" s="1087"/>
      <c r="CD30" s="1087"/>
      <c r="CE30" s="1087"/>
      <c r="CF30" s="1087"/>
      <c r="CG30" s="1087"/>
      <c r="CH30" s="1087"/>
      <c r="CI30" s="1087"/>
      <c r="CJ30" s="1087"/>
      <c r="CK30" s="1087"/>
      <c r="CL30" s="1087"/>
      <c r="CM30" s="784"/>
      <c r="CN30" s="785"/>
      <c r="CO30" s="1089"/>
      <c r="CP30" s="1089"/>
      <c r="CQ30" s="1089"/>
      <c r="CR30" s="1089"/>
      <c r="CS30" s="1089"/>
      <c r="CT30" s="1089"/>
      <c r="CU30" s="1089"/>
      <c r="CV30" s="1089"/>
      <c r="CW30" s="1089"/>
      <c r="CX30" s="1089"/>
      <c r="CY30" s="1089"/>
      <c r="CZ30" s="1089"/>
      <c r="DA30" s="1089"/>
      <c r="DB30" s="1089"/>
      <c r="DC30" s="1089"/>
      <c r="DD30" s="1089"/>
      <c r="DE30" s="1089"/>
      <c r="DF30" s="1089"/>
      <c r="DG30" s="1089"/>
      <c r="DH30" s="1089"/>
      <c r="DJ30" s="772"/>
    </row>
    <row r="31" spans="3:196" ht="18.75" customHeight="1" x14ac:dyDescent="0.3">
      <c r="C31" s="772"/>
      <c r="D31" s="783">
        <v>2</v>
      </c>
      <c r="E31" s="1083"/>
      <c r="F31" s="1084"/>
      <c r="G31" s="1084"/>
      <c r="H31" s="1084"/>
      <c r="I31" s="1084"/>
      <c r="J31" s="1084"/>
      <c r="K31" s="1084"/>
      <c r="L31" s="1084"/>
      <c r="M31" s="1084"/>
      <c r="N31" s="1084"/>
      <c r="O31" s="1084"/>
      <c r="P31" s="1084"/>
      <c r="Q31" s="1084"/>
      <c r="R31" s="1084"/>
      <c r="S31" s="1084"/>
      <c r="T31" s="1084"/>
      <c r="U31" s="1084"/>
      <c r="V31" s="1084"/>
      <c r="W31" s="1084"/>
      <c r="X31" s="1084"/>
      <c r="Y31" s="1084"/>
      <c r="Z31" s="1084"/>
      <c r="AA31" s="1084"/>
      <c r="AB31" s="1084"/>
      <c r="AC31" s="1084"/>
      <c r="AD31" s="1084"/>
      <c r="AE31" s="1084"/>
      <c r="AF31" s="1084"/>
      <c r="AG31" s="1084"/>
      <c r="AH31" s="1084"/>
      <c r="AI31" s="1084"/>
      <c r="AJ31" s="1084"/>
      <c r="AK31" s="1084"/>
      <c r="AL31" s="1084"/>
      <c r="AM31" s="1084"/>
      <c r="AN31" s="1084"/>
      <c r="AO31" s="1084"/>
      <c r="AP31" s="1084"/>
      <c r="AQ31" s="784"/>
      <c r="AR31" s="785"/>
      <c r="AS31" s="785"/>
      <c r="AT31" s="1085">
        <v>0</v>
      </c>
      <c r="AU31" s="1086"/>
      <c r="AV31" s="1086"/>
      <c r="AW31" s="1086"/>
      <c r="AX31" s="1086"/>
      <c r="AY31" s="1086"/>
      <c r="AZ31" s="1086"/>
      <c r="BA31" s="1086"/>
      <c r="BB31" s="1086"/>
      <c r="BC31" s="1086"/>
      <c r="BD31" s="1086"/>
      <c r="BE31" s="1086"/>
      <c r="BF31" s="1086"/>
      <c r="BG31" s="786"/>
      <c r="BH31" s="787"/>
      <c r="BI31" s="787"/>
      <c r="BJ31" s="1085">
        <v>0</v>
      </c>
      <c r="BK31" s="1086"/>
      <c r="BL31" s="1086"/>
      <c r="BM31" s="1086"/>
      <c r="BN31" s="1086"/>
      <c r="BO31" s="1086"/>
      <c r="BP31" s="1086"/>
      <c r="BQ31" s="1086"/>
      <c r="BR31" s="1086"/>
      <c r="BS31" s="1086"/>
      <c r="BT31" s="1086"/>
      <c r="BU31" s="1086"/>
      <c r="BV31" s="1086"/>
      <c r="BW31" s="786"/>
      <c r="BX31" s="787"/>
      <c r="BY31" s="787"/>
      <c r="BZ31" s="1087">
        <f t="shared" si="1"/>
        <v>0</v>
      </c>
      <c r="CA31" s="1088"/>
      <c r="CB31" s="1088"/>
      <c r="CC31" s="1088"/>
      <c r="CD31" s="1088"/>
      <c r="CE31" s="1088"/>
      <c r="CF31" s="1088"/>
      <c r="CG31" s="1088"/>
      <c r="CH31" s="1088"/>
      <c r="CI31" s="1088"/>
      <c r="CJ31" s="1088"/>
      <c r="CK31" s="1088"/>
      <c r="CL31" s="1088"/>
      <c r="CM31" s="784"/>
      <c r="CN31" s="785"/>
      <c r="CO31" s="1089"/>
      <c r="CP31" s="1090"/>
      <c r="CQ31" s="1090"/>
      <c r="CR31" s="1090"/>
      <c r="CS31" s="1090"/>
      <c r="CT31" s="1090"/>
      <c r="CU31" s="1090"/>
      <c r="CV31" s="1090"/>
      <c r="CW31" s="1090"/>
      <c r="CX31" s="1090"/>
      <c r="CY31" s="1090"/>
      <c r="CZ31" s="1090"/>
      <c r="DA31" s="1090"/>
      <c r="DB31" s="1090"/>
      <c r="DC31" s="1090"/>
      <c r="DD31" s="1090"/>
      <c r="DE31" s="1090"/>
      <c r="DF31" s="1090"/>
      <c r="DG31" s="1090"/>
      <c r="DH31" s="1090"/>
      <c r="DJ31" s="772"/>
    </row>
    <row r="32" spans="3:196" ht="18.75" customHeight="1" x14ac:dyDescent="0.3">
      <c r="C32" s="772"/>
      <c r="D32" s="783">
        <v>3</v>
      </c>
      <c r="E32" s="1083"/>
      <c r="F32" s="1084"/>
      <c r="G32" s="1084"/>
      <c r="H32" s="1084"/>
      <c r="I32" s="1084"/>
      <c r="J32" s="1084"/>
      <c r="K32" s="1084"/>
      <c r="L32" s="1084"/>
      <c r="M32" s="1084"/>
      <c r="N32" s="1084"/>
      <c r="O32" s="1084"/>
      <c r="P32" s="1084"/>
      <c r="Q32" s="1084"/>
      <c r="R32" s="1084"/>
      <c r="S32" s="1084"/>
      <c r="T32" s="1084"/>
      <c r="U32" s="1084"/>
      <c r="V32" s="1084"/>
      <c r="W32" s="1084"/>
      <c r="X32" s="1084"/>
      <c r="Y32" s="1084"/>
      <c r="Z32" s="1084"/>
      <c r="AA32" s="1084"/>
      <c r="AB32" s="1084"/>
      <c r="AC32" s="1084"/>
      <c r="AD32" s="1084"/>
      <c r="AE32" s="1084"/>
      <c r="AF32" s="1084"/>
      <c r="AG32" s="1084"/>
      <c r="AH32" s="1084"/>
      <c r="AI32" s="1084"/>
      <c r="AJ32" s="1084"/>
      <c r="AK32" s="1084"/>
      <c r="AL32" s="1084"/>
      <c r="AM32" s="1084"/>
      <c r="AN32" s="1084"/>
      <c r="AO32" s="1084"/>
      <c r="AP32" s="1084"/>
      <c r="AQ32" s="784"/>
      <c r="AR32" s="785"/>
      <c r="AS32" s="785"/>
      <c r="AT32" s="1085">
        <v>0</v>
      </c>
      <c r="AU32" s="1086"/>
      <c r="AV32" s="1086"/>
      <c r="AW32" s="1086"/>
      <c r="AX32" s="1086"/>
      <c r="AY32" s="1086"/>
      <c r="AZ32" s="1086"/>
      <c r="BA32" s="1086"/>
      <c r="BB32" s="1086"/>
      <c r="BC32" s="1086"/>
      <c r="BD32" s="1086"/>
      <c r="BE32" s="1086"/>
      <c r="BF32" s="1086"/>
      <c r="BG32" s="786"/>
      <c r="BH32" s="787"/>
      <c r="BI32" s="787"/>
      <c r="BJ32" s="1085">
        <v>0</v>
      </c>
      <c r="BK32" s="1086"/>
      <c r="BL32" s="1086"/>
      <c r="BM32" s="1086"/>
      <c r="BN32" s="1086"/>
      <c r="BO32" s="1086"/>
      <c r="BP32" s="1086"/>
      <c r="BQ32" s="1086"/>
      <c r="BR32" s="1086"/>
      <c r="BS32" s="1086"/>
      <c r="BT32" s="1086"/>
      <c r="BU32" s="1086"/>
      <c r="BV32" s="1086"/>
      <c r="BW32" s="786"/>
      <c r="BX32" s="787"/>
      <c r="BY32" s="787"/>
      <c r="BZ32" s="1087">
        <f t="shared" si="1"/>
        <v>0</v>
      </c>
      <c r="CA32" s="1088"/>
      <c r="CB32" s="1088"/>
      <c r="CC32" s="1088"/>
      <c r="CD32" s="1088"/>
      <c r="CE32" s="1088"/>
      <c r="CF32" s="1088"/>
      <c r="CG32" s="1088"/>
      <c r="CH32" s="1088"/>
      <c r="CI32" s="1088"/>
      <c r="CJ32" s="1088"/>
      <c r="CK32" s="1088"/>
      <c r="CL32" s="1088"/>
      <c r="CM32" s="784"/>
      <c r="CN32" s="785"/>
      <c r="CO32" s="1089"/>
      <c r="CP32" s="1090"/>
      <c r="CQ32" s="1090"/>
      <c r="CR32" s="1090"/>
      <c r="CS32" s="1090"/>
      <c r="CT32" s="1090"/>
      <c r="CU32" s="1090"/>
      <c r="CV32" s="1090"/>
      <c r="CW32" s="1090"/>
      <c r="CX32" s="1090"/>
      <c r="CY32" s="1090"/>
      <c r="CZ32" s="1090"/>
      <c r="DA32" s="1090"/>
      <c r="DB32" s="1090"/>
      <c r="DC32" s="1090"/>
      <c r="DD32" s="1090"/>
      <c r="DE32" s="1090"/>
      <c r="DF32" s="1090"/>
      <c r="DG32" s="1090"/>
      <c r="DH32" s="1090"/>
      <c r="DJ32" s="772"/>
    </row>
    <row r="33" spans="3:114" ht="18.75" customHeight="1" x14ac:dyDescent="0.3">
      <c r="C33" s="772"/>
      <c r="D33" s="783">
        <v>4</v>
      </c>
      <c r="E33" s="1083"/>
      <c r="F33" s="1084"/>
      <c r="G33" s="1084"/>
      <c r="H33" s="1084"/>
      <c r="I33" s="1084"/>
      <c r="J33" s="1084"/>
      <c r="K33" s="1084"/>
      <c r="L33" s="1084"/>
      <c r="M33" s="1084"/>
      <c r="N33" s="1084"/>
      <c r="O33" s="1084"/>
      <c r="P33" s="1084"/>
      <c r="Q33" s="1084"/>
      <c r="R33" s="1084"/>
      <c r="S33" s="1084"/>
      <c r="T33" s="1084"/>
      <c r="U33" s="1084"/>
      <c r="V33" s="1084"/>
      <c r="W33" s="1084"/>
      <c r="X33" s="1084"/>
      <c r="Y33" s="1084"/>
      <c r="Z33" s="1084"/>
      <c r="AA33" s="1084"/>
      <c r="AB33" s="1084"/>
      <c r="AC33" s="1084"/>
      <c r="AD33" s="1084"/>
      <c r="AE33" s="1084"/>
      <c r="AF33" s="1084"/>
      <c r="AG33" s="1084"/>
      <c r="AH33" s="1084"/>
      <c r="AI33" s="1084"/>
      <c r="AJ33" s="1084"/>
      <c r="AK33" s="1084"/>
      <c r="AL33" s="1084"/>
      <c r="AM33" s="1084"/>
      <c r="AN33" s="1084"/>
      <c r="AO33" s="1084"/>
      <c r="AP33" s="1084"/>
      <c r="AQ33" s="784"/>
      <c r="AR33" s="785"/>
      <c r="AS33" s="785"/>
      <c r="AT33" s="1085">
        <v>0</v>
      </c>
      <c r="AU33" s="1086"/>
      <c r="AV33" s="1086"/>
      <c r="AW33" s="1086"/>
      <c r="AX33" s="1086"/>
      <c r="AY33" s="1086"/>
      <c r="AZ33" s="1086"/>
      <c r="BA33" s="1086"/>
      <c r="BB33" s="1086"/>
      <c r="BC33" s="1086"/>
      <c r="BD33" s="1086"/>
      <c r="BE33" s="1086"/>
      <c r="BF33" s="1086"/>
      <c r="BG33" s="786"/>
      <c r="BH33" s="787"/>
      <c r="BI33" s="787"/>
      <c r="BJ33" s="1085">
        <v>0</v>
      </c>
      <c r="BK33" s="1086"/>
      <c r="BL33" s="1086"/>
      <c r="BM33" s="1086"/>
      <c r="BN33" s="1086"/>
      <c r="BO33" s="1086"/>
      <c r="BP33" s="1086"/>
      <c r="BQ33" s="1086"/>
      <c r="BR33" s="1086"/>
      <c r="BS33" s="1086"/>
      <c r="BT33" s="1086"/>
      <c r="BU33" s="1086"/>
      <c r="BV33" s="1086"/>
      <c r="BW33" s="786"/>
      <c r="BX33" s="787"/>
      <c r="BY33" s="787"/>
      <c r="BZ33" s="1087">
        <f t="shared" si="1"/>
        <v>0</v>
      </c>
      <c r="CA33" s="1088"/>
      <c r="CB33" s="1088"/>
      <c r="CC33" s="1088"/>
      <c r="CD33" s="1088"/>
      <c r="CE33" s="1088"/>
      <c r="CF33" s="1088"/>
      <c r="CG33" s="1088"/>
      <c r="CH33" s="1088"/>
      <c r="CI33" s="1088"/>
      <c r="CJ33" s="1088"/>
      <c r="CK33" s="1088"/>
      <c r="CL33" s="1088"/>
      <c r="CM33" s="784"/>
      <c r="CN33" s="785"/>
      <c r="CO33" s="1089"/>
      <c r="CP33" s="1090"/>
      <c r="CQ33" s="1090"/>
      <c r="CR33" s="1090"/>
      <c r="CS33" s="1090"/>
      <c r="CT33" s="1090"/>
      <c r="CU33" s="1090"/>
      <c r="CV33" s="1090"/>
      <c r="CW33" s="1090"/>
      <c r="CX33" s="1090"/>
      <c r="CY33" s="1090"/>
      <c r="CZ33" s="1090"/>
      <c r="DA33" s="1090"/>
      <c r="DB33" s="1090"/>
      <c r="DC33" s="1090"/>
      <c r="DD33" s="1090"/>
      <c r="DE33" s="1090"/>
      <c r="DF33" s="1090"/>
      <c r="DG33" s="1090"/>
      <c r="DH33" s="1090"/>
      <c r="DI33" s="763"/>
      <c r="DJ33" s="772"/>
    </row>
    <row r="34" spans="3:114" ht="18.75" customHeight="1" x14ac:dyDescent="0.3">
      <c r="C34" s="772"/>
      <c r="D34" s="783">
        <v>5</v>
      </c>
      <c r="E34" s="1083"/>
      <c r="F34" s="1084"/>
      <c r="G34" s="1084"/>
      <c r="H34" s="1084"/>
      <c r="I34" s="1084"/>
      <c r="J34" s="1084"/>
      <c r="K34" s="1084"/>
      <c r="L34" s="1084"/>
      <c r="M34" s="1084"/>
      <c r="N34" s="1084"/>
      <c r="O34" s="1084"/>
      <c r="P34" s="1084"/>
      <c r="Q34" s="1084"/>
      <c r="R34" s="1084"/>
      <c r="S34" s="1084"/>
      <c r="T34" s="1084"/>
      <c r="U34" s="1084"/>
      <c r="V34" s="1084"/>
      <c r="W34" s="1084"/>
      <c r="X34" s="1084"/>
      <c r="Y34" s="1084"/>
      <c r="Z34" s="1084"/>
      <c r="AA34" s="1084"/>
      <c r="AB34" s="1084"/>
      <c r="AC34" s="1084"/>
      <c r="AD34" s="1084"/>
      <c r="AE34" s="1084"/>
      <c r="AF34" s="1084"/>
      <c r="AG34" s="1084"/>
      <c r="AH34" s="1084"/>
      <c r="AI34" s="1084"/>
      <c r="AJ34" s="1084"/>
      <c r="AK34" s="1084"/>
      <c r="AL34" s="1084"/>
      <c r="AM34" s="1084"/>
      <c r="AN34" s="1084"/>
      <c r="AO34" s="1084"/>
      <c r="AP34" s="1084"/>
      <c r="AQ34" s="784"/>
      <c r="AR34" s="785"/>
      <c r="AS34" s="785"/>
      <c r="AT34" s="1085">
        <v>0</v>
      </c>
      <c r="AU34" s="1086"/>
      <c r="AV34" s="1086"/>
      <c r="AW34" s="1086"/>
      <c r="AX34" s="1086"/>
      <c r="AY34" s="1086"/>
      <c r="AZ34" s="1086"/>
      <c r="BA34" s="1086"/>
      <c r="BB34" s="1086"/>
      <c r="BC34" s="1086"/>
      <c r="BD34" s="1086"/>
      <c r="BE34" s="1086"/>
      <c r="BF34" s="1086"/>
      <c r="BG34" s="786"/>
      <c r="BH34" s="787"/>
      <c r="BI34" s="787"/>
      <c r="BJ34" s="1085">
        <v>0</v>
      </c>
      <c r="BK34" s="1086"/>
      <c r="BL34" s="1086"/>
      <c r="BM34" s="1086"/>
      <c r="BN34" s="1086"/>
      <c r="BO34" s="1086"/>
      <c r="BP34" s="1086"/>
      <c r="BQ34" s="1086"/>
      <c r="BR34" s="1086"/>
      <c r="BS34" s="1086"/>
      <c r="BT34" s="1086"/>
      <c r="BU34" s="1086"/>
      <c r="BV34" s="1086"/>
      <c r="BW34" s="786"/>
      <c r="BX34" s="787"/>
      <c r="BY34" s="787"/>
      <c r="BZ34" s="1087">
        <f t="shared" si="1"/>
        <v>0</v>
      </c>
      <c r="CA34" s="1088"/>
      <c r="CB34" s="1088"/>
      <c r="CC34" s="1088"/>
      <c r="CD34" s="1088"/>
      <c r="CE34" s="1088"/>
      <c r="CF34" s="1088"/>
      <c r="CG34" s="1088"/>
      <c r="CH34" s="1088"/>
      <c r="CI34" s="1088"/>
      <c r="CJ34" s="1088"/>
      <c r="CK34" s="1088"/>
      <c r="CL34" s="1088"/>
      <c r="CM34" s="784"/>
      <c r="CN34" s="785"/>
      <c r="CO34" s="1089"/>
      <c r="CP34" s="1090"/>
      <c r="CQ34" s="1090"/>
      <c r="CR34" s="1090"/>
      <c r="CS34" s="1090"/>
      <c r="CT34" s="1090"/>
      <c r="CU34" s="1090"/>
      <c r="CV34" s="1090"/>
      <c r="CW34" s="1090"/>
      <c r="CX34" s="1090"/>
      <c r="CY34" s="1090"/>
      <c r="CZ34" s="1090"/>
      <c r="DA34" s="1090"/>
      <c r="DB34" s="1090"/>
      <c r="DC34" s="1090"/>
      <c r="DD34" s="1090"/>
      <c r="DE34" s="1090"/>
      <c r="DF34" s="1090"/>
      <c r="DG34" s="1090"/>
      <c r="DH34" s="1090"/>
      <c r="DJ34" s="772"/>
    </row>
    <row r="35" spans="3:114" ht="18.75" customHeight="1" x14ac:dyDescent="0.3">
      <c r="C35" s="772"/>
      <c r="D35" s="783">
        <v>6</v>
      </c>
      <c r="E35" s="1083"/>
      <c r="F35" s="1084"/>
      <c r="G35" s="1084"/>
      <c r="H35" s="1084"/>
      <c r="I35" s="1084"/>
      <c r="J35" s="1084"/>
      <c r="K35" s="1084"/>
      <c r="L35" s="1084"/>
      <c r="M35" s="1084"/>
      <c r="N35" s="1084"/>
      <c r="O35" s="1084"/>
      <c r="P35" s="1084"/>
      <c r="Q35" s="1084"/>
      <c r="R35" s="1084"/>
      <c r="S35" s="1084"/>
      <c r="T35" s="1084"/>
      <c r="U35" s="1084"/>
      <c r="V35" s="1084"/>
      <c r="W35" s="1084"/>
      <c r="X35" s="1084"/>
      <c r="Y35" s="1084"/>
      <c r="Z35" s="1084"/>
      <c r="AA35" s="1084"/>
      <c r="AB35" s="1084"/>
      <c r="AC35" s="1084"/>
      <c r="AD35" s="1084"/>
      <c r="AE35" s="1084"/>
      <c r="AF35" s="1084"/>
      <c r="AG35" s="1084"/>
      <c r="AH35" s="1084"/>
      <c r="AI35" s="1084"/>
      <c r="AJ35" s="1084"/>
      <c r="AK35" s="1084"/>
      <c r="AL35" s="1084"/>
      <c r="AM35" s="1084"/>
      <c r="AN35" s="1084"/>
      <c r="AO35" s="1084"/>
      <c r="AP35" s="1084"/>
      <c r="AQ35" s="784"/>
      <c r="AR35" s="785"/>
      <c r="AS35" s="785"/>
      <c r="AT35" s="1085">
        <v>0</v>
      </c>
      <c r="AU35" s="1086"/>
      <c r="AV35" s="1086"/>
      <c r="AW35" s="1086"/>
      <c r="AX35" s="1086"/>
      <c r="AY35" s="1086"/>
      <c r="AZ35" s="1086"/>
      <c r="BA35" s="1086"/>
      <c r="BB35" s="1086"/>
      <c r="BC35" s="1086"/>
      <c r="BD35" s="1086"/>
      <c r="BE35" s="1086"/>
      <c r="BF35" s="1086"/>
      <c r="BG35" s="786"/>
      <c r="BH35" s="787"/>
      <c r="BI35" s="787"/>
      <c r="BJ35" s="1085">
        <v>0</v>
      </c>
      <c r="BK35" s="1086"/>
      <c r="BL35" s="1086"/>
      <c r="BM35" s="1086"/>
      <c r="BN35" s="1086"/>
      <c r="BO35" s="1086"/>
      <c r="BP35" s="1086"/>
      <c r="BQ35" s="1086"/>
      <c r="BR35" s="1086"/>
      <c r="BS35" s="1086"/>
      <c r="BT35" s="1086"/>
      <c r="BU35" s="1086"/>
      <c r="BV35" s="1086"/>
      <c r="BW35" s="786"/>
      <c r="BX35" s="787"/>
      <c r="BY35" s="787"/>
      <c r="BZ35" s="1087">
        <f t="shared" si="1"/>
        <v>0</v>
      </c>
      <c r="CA35" s="1088"/>
      <c r="CB35" s="1088"/>
      <c r="CC35" s="1088"/>
      <c r="CD35" s="1088"/>
      <c r="CE35" s="1088"/>
      <c r="CF35" s="1088"/>
      <c r="CG35" s="1088"/>
      <c r="CH35" s="1088"/>
      <c r="CI35" s="1088"/>
      <c r="CJ35" s="1088"/>
      <c r="CK35" s="1088"/>
      <c r="CL35" s="1088"/>
      <c r="CM35" s="784"/>
      <c r="CN35" s="785"/>
      <c r="CO35" s="1089"/>
      <c r="CP35" s="1090"/>
      <c r="CQ35" s="1090"/>
      <c r="CR35" s="1090"/>
      <c r="CS35" s="1090"/>
      <c r="CT35" s="1090"/>
      <c r="CU35" s="1090"/>
      <c r="CV35" s="1090"/>
      <c r="CW35" s="1090"/>
      <c r="CX35" s="1090"/>
      <c r="CY35" s="1090"/>
      <c r="CZ35" s="1090"/>
      <c r="DA35" s="1090"/>
      <c r="DB35" s="1090"/>
      <c r="DC35" s="1090"/>
      <c r="DD35" s="1090"/>
      <c r="DE35" s="1090"/>
      <c r="DF35" s="1090"/>
      <c r="DG35" s="1090"/>
      <c r="DH35" s="1090"/>
      <c r="DI35" s="763"/>
      <c r="DJ35" s="772"/>
    </row>
    <row r="36" spans="3:114" ht="18.75" customHeight="1" x14ac:dyDescent="0.3">
      <c r="C36" s="772"/>
      <c r="D36" s="783">
        <v>7</v>
      </c>
      <c r="E36" s="1083"/>
      <c r="F36" s="1084"/>
      <c r="G36" s="1084"/>
      <c r="H36" s="1084"/>
      <c r="I36" s="1084"/>
      <c r="J36" s="1084"/>
      <c r="K36" s="1084"/>
      <c r="L36" s="1084"/>
      <c r="M36" s="1084"/>
      <c r="N36" s="1084"/>
      <c r="O36" s="1084"/>
      <c r="P36" s="1084"/>
      <c r="Q36" s="1084"/>
      <c r="R36" s="1084"/>
      <c r="S36" s="1084"/>
      <c r="T36" s="1084"/>
      <c r="U36" s="1084"/>
      <c r="V36" s="1084"/>
      <c r="W36" s="1084"/>
      <c r="X36" s="1084"/>
      <c r="Y36" s="1084"/>
      <c r="Z36" s="1084"/>
      <c r="AA36" s="1084"/>
      <c r="AB36" s="1084"/>
      <c r="AC36" s="1084"/>
      <c r="AD36" s="1084"/>
      <c r="AE36" s="1084"/>
      <c r="AF36" s="1084"/>
      <c r="AG36" s="1084"/>
      <c r="AH36" s="1084"/>
      <c r="AI36" s="1084"/>
      <c r="AJ36" s="1084"/>
      <c r="AK36" s="1084"/>
      <c r="AL36" s="1084"/>
      <c r="AM36" s="1084"/>
      <c r="AN36" s="1084"/>
      <c r="AO36" s="1084"/>
      <c r="AP36" s="1084"/>
      <c r="AQ36" s="784"/>
      <c r="AR36" s="785"/>
      <c r="AS36" s="785"/>
      <c r="AT36" s="1085">
        <v>0</v>
      </c>
      <c r="AU36" s="1086"/>
      <c r="AV36" s="1086"/>
      <c r="AW36" s="1086"/>
      <c r="AX36" s="1086"/>
      <c r="AY36" s="1086"/>
      <c r="AZ36" s="1086"/>
      <c r="BA36" s="1086"/>
      <c r="BB36" s="1086"/>
      <c r="BC36" s="1086"/>
      <c r="BD36" s="1086"/>
      <c r="BE36" s="1086"/>
      <c r="BF36" s="1086"/>
      <c r="BG36" s="786"/>
      <c r="BH36" s="787"/>
      <c r="BI36" s="787"/>
      <c r="BJ36" s="1085">
        <v>0</v>
      </c>
      <c r="BK36" s="1086"/>
      <c r="BL36" s="1086"/>
      <c r="BM36" s="1086"/>
      <c r="BN36" s="1086"/>
      <c r="BO36" s="1086"/>
      <c r="BP36" s="1086"/>
      <c r="BQ36" s="1086"/>
      <c r="BR36" s="1086"/>
      <c r="BS36" s="1086"/>
      <c r="BT36" s="1086"/>
      <c r="BU36" s="1086"/>
      <c r="BV36" s="1086"/>
      <c r="BW36" s="786"/>
      <c r="BX36" s="787"/>
      <c r="BY36" s="787"/>
      <c r="BZ36" s="1087">
        <f t="shared" si="1"/>
        <v>0</v>
      </c>
      <c r="CA36" s="1088"/>
      <c r="CB36" s="1088"/>
      <c r="CC36" s="1088"/>
      <c r="CD36" s="1088"/>
      <c r="CE36" s="1088"/>
      <c r="CF36" s="1088"/>
      <c r="CG36" s="1088"/>
      <c r="CH36" s="1088"/>
      <c r="CI36" s="1088"/>
      <c r="CJ36" s="1088"/>
      <c r="CK36" s="1088"/>
      <c r="CL36" s="1088"/>
      <c r="CM36" s="784"/>
      <c r="CN36" s="785"/>
      <c r="CO36" s="1089"/>
      <c r="CP36" s="1090"/>
      <c r="CQ36" s="1090"/>
      <c r="CR36" s="1090"/>
      <c r="CS36" s="1090"/>
      <c r="CT36" s="1090"/>
      <c r="CU36" s="1090"/>
      <c r="CV36" s="1090"/>
      <c r="CW36" s="1090"/>
      <c r="CX36" s="1090"/>
      <c r="CY36" s="1090"/>
      <c r="CZ36" s="1090"/>
      <c r="DA36" s="1090"/>
      <c r="DB36" s="1090"/>
      <c r="DC36" s="1090"/>
      <c r="DD36" s="1090"/>
      <c r="DE36" s="1090"/>
      <c r="DF36" s="1090"/>
      <c r="DG36" s="1090"/>
      <c r="DH36" s="1090"/>
      <c r="DJ36" s="772"/>
    </row>
    <row r="37" spans="3:114" ht="18.75" customHeight="1" x14ac:dyDescent="0.3">
      <c r="C37" s="772"/>
      <c r="D37" s="783">
        <v>8</v>
      </c>
      <c r="E37" s="1083"/>
      <c r="F37" s="1084"/>
      <c r="G37" s="1084"/>
      <c r="H37" s="1084"/>
      <c r="I37" s="1084"/>
      <c r="J37" s="1084"/>
      <c r="K37" s="1084"/>
      <c r="L37" s="1084"/>
      <c r="M37" s="1084"/>
      <c r="N37" s="1084"/>
      <c r="O37" s="1084"/>
      <c r="P37" s="1084"/>
      <c r="Q37" s="1084"/>
      <c r="R37" s="1084"/>
      <c r="S37" s="1084"/>
      <c r="T37" s="1084"/>
      <c r="U37" s="1084"/>
      <c r="V37" s="1084"/>
      <c r="W37" s="1084"/>
      <c r="X37" s="1084"/>
      <c r="Y37" s="1084"/>
      <c r="Z37" s="1084"/>
      <c r="AA37" s="1084"/>
      <c r="AB37" s="1084"/>
      <c r="AC37" s="1084"/>
      <c r="AD37" s="1084"/>
      <c r="AE37" s="1084"/>
      <c r="AF37" s="1084"/>
      <c r="AG37" s="1084"/>
      <c r="AH37" s="1084"/>
      <c r="AI37" s="1084"/>
      <c r="AJ37" s="1084"/>
      <c r="AK37" s="1084"/>
      <c r="AL37" s="1084"/>
      <c r="AM37" s="1084"/>
      <c r="AN37" s="1084"/>
      <c r="AO37" s="1084"/>
      <c r="AP37" s="1084"/>
      <c r="AQ37" s="784"/>
      <c r="AR37" s="785"/>
      <c r="AS37" s="785"/>
      <c r="AT37" s="1085">
        <v>0</v>
      </c>
      <c r="AU37" s="1086"/>
      <c r="AV37" s="1086"/>
      <c r="AW37" s="1086"/>
      <c r="AX37" s="1086"/>
      <c r="AY37" s="1086"/>
      <c r="AZ37" s="1086"/>
      <c r="BA37" s="1086"/>
      <c r="BB37" s="1086"/>
      <c r="BC37" s="1086"/>
      <c r="BD37" s="1086"/>
      <c r="BE37" s="1086"/>
      <c r="BF37" s="1086"/>
      <c r="BG37" s="786"/>
      <c r="BH37" s="787"/>
      <c r="BI37" s="787"/>
      <c r="BJ37" s="1085">
        <v>0</v>
      </c>
      <c r="BK37" s="1086"/>
      <c r="BL37" s="1086"/>
      <c r="BM37" s="1086"/>
      <c r="BN37" s="1086"/>
      <c r="BO37" s="1086"/>
      <c r="BP37" s="1086"/>
      <c r="BQ37" s="1086"/>
      <c r="BR37" s="1086"/>
      <c r="BS37" s="1086"/>
      <c r="BT37" s="1086"/>
      <c r="BU37" s="1086"/>
      <c r="BV37" s="1086"/>
      <c r="BW37" s="786"/>
      <c r="BX37" s="787"/>
      <c r="BY37" s="787"/>
      <c r="BZ37" s="1087">
        <f t="shared" si="1"/>
        <v>0</v>
      </c>
      <c r="CA37" s="1088"/>
      <c r="CB37" s="1088"/>
      <c r="CC37" s="1088"/>
      <c r="CD37" s="1088"/>
      <c r="CE37" s="1088"/>
      <c r="CF37" s="1088"/>
      <c r="CG37" s="1088"/>
      <c r="CH37" s="1088"/>
      <c r="CI37" s="1088"/>
      <c r="CJ37" s="1088"/>
      <c r="CK37" s="1088"/>
      <c r="CL37" s="1088"/>
      <c r="CM37" s="784"/>
      <c r="CN37" s="785"/>
      <c r="CO37" s="1089"/>
      <c r="CP37" s="1090"/>
      <c r="CQ37" s="1090"/>
      <c r="CR37" s="1090"/>
      <c r="CS37" s="1090"/>
      <c r="CT37" s="1090"/>
      <c r="CU37" s="1090"/>
      <c r="CV37" s="1090"/>
      <c r="CW37" s="1090"/>
      <c r="CX37" s="1090"/>
      <c r="CY37" s="1090"/>
      <c r="CZ37" s="1090"/>
      <c r="DA37" s="1090"/>
      <c r="DB37" s="1090"/>
      <c r="DC37" s="1090"/>
      <c r="DD37" s="1090"/>
      <c r="DE37" s="1090"/>
      <c r="DF37" s="1090"/>
      <c r="DG37" s="1090"/>
      <c r="DH37" s="1090"/>
      <c r="DI37" s="763"/>
      <c r="DJ37" s="772"/>
    </row>
    <row r="38" spans="3:114" ht="18.75" customHeight="1" x14ac:dyDescent="0.3">
      <c r="C38" s="772"/>
      <c r="D38" s="783">
        <v>9</v>
      </c>
      <c r="E38" s="1083"/>
      <c r="F38" s="1084"/>
      <c r="G38" s="1084"/>
      <c r="H38" s="1084"/>
      <c r="I38" s="1084"/>
      <c r="J38" s="1084"/>
      <c r="K38" s="1084"/>
      <c r="L38" s="1084"/>
      <c r="M38" s="1084"/>
      <c r="N38" s="1084"/>
      <c r="O38" s="1084"/>
      <c r="P38" s="1084"/>
      <c r="Q38" s="1084"/>
      <c r="R38" s="1084"/>
      <c r="S38" s="1084"/>
      <c r="T38" s="1084"/>
      <c r="U38" s="1084"/>
      <c r="V38" s="1084"/>
      <c r="W38" s="1084"/>
      <c r="X38" s="1084"/>
      <c r="Y38" s="1084"/>
      <c r="Z38" s="1084"/>
      <c r="AA38" s="1084"/>
      <c r="AB38" s="1084"/>
      <c r="AC38" s="1084"/>
      <c r="AD38" s="1084"/>
      <c r="AE38" s="1084"/>
      <c r="AF38" s="1084"/>
      <c r="AG38" s="1084"/>
      <c r="AH38" s="1084"/>
      <c r="AI38" s="1084"/>
      <c r="AJ38" s="1084"/>
      <c r="AK38" s="1084"/>
      <c r="AL38" s="1084"/>
      <c r="AM38" s="1084"/>
      <c r="AN38" s="1084"/>
      <c r="AO38" s="1084"/>
      <c r="AP38" s="1084"/>
      <c r="AQ38" s="784"/>
      <c r="AR38" s="785"/>
      <c r="AS38" s="785"/>
      <c r="AT38" s="1085">
        <v>0</v>
      </c>
      <c r="AU38" s="1086"/>
      <c r="AV38" s="1086"/>
      <c r="AW38" s="1086"/>
      <c r="AX38" s="1086"/>
      <c r="AY38" s="1086"/>
      <c r="AZ38" s="1086"/>
      <c r="BA38" s="1086"/>
      <c r="BB38" s="1086"/>
      <c r="BC38" s="1086"/>
      <c r="BD38" s="1086"/>
      <c r="BE38" s="1086"/>
      <c r="BF38" s="1086"/>
      <c r="BG38" s="786"/>
      <c r="BH38" s="787"/>
      <c r="BI38" s="787"/>
      <c r="BJ38" s="1085">
        <v>0</v>
      </c>
      <c r="BK38" s="1086"/>
      <c r="BL38" s="1086"/>
      <c r="BM38" s="1086"/>
      <c r="BN38" s="1086"/>
      <c r="BO38" s="1086"/>
      <c r="BP38" s="1086"/>
      <c r="BQ38" s="1086"/>
      <c r="BR38" s="1086"/>
      <c r="BS38" s="1086"/>
      <c r="BT38" s="1086"/>
      <c r="BU38" s="1086"/>
      <c r="BV38" s="1086"/>
      <c r="BW38" s="786"/>
      <c r="BX38" s="787"/>
      <c r="BY38" s="787"/>
      <c r="BZ38" s="1087">
        <f t="shared" si="1"/>
        <v>0</v>
      </c>
      <c r="CA38" s="1088"/>
      <c r="CB38" s="1088"/>
      <c r="CC38" s="1088"/>
      <c r="CD38" s="1088"/>
      <c r="CE38" s="1088"/>
      <c r="CF38" s="1088"/>
      <c r="CG38" s="1088"/>
      <c r="CH38" s="1088"/>
      <c r="CI38" s="1088"/>
      <c r="CJ38" s="1088"/>
      <c r="CK38" s="1088"/>
      <c r="CL38" s="1088"/>
      <c r="CM38" s="784"/>
      <c r="CN38" s="785"/>
      <c r="CO38" s="1089"/>
      <c r="CP38" s="1090"/>
      <c r="CQ38" s="1090"/>
      <c r="CR38" s="1090"/>
      <c r="CS38" s="1090"/>
      <c r="CT38" s="1090"/>
      <c r="CU38" s="1090"/>
      <c r="CV38" s="1090"/>
      <c r="CW38" s="1090"/>
      <c r="CX38" s="1090"/>
      <c r="CY38" s="1090"/>
      <c r="CZ38" s="1090"/>
      <c r="DA38" s="1090"/>
      <c r="DB38" s="1090"/>
      <c r="DC38" s="1090"/>
      <c r="DD38" s="1090"/>
      <c r="DE38" s="1090"/>
      <c r="DF38" s="1090"/>
      <c r="DG38" s="1090"/>
      <c r="DH38" s="1090"/>
      <c r="DJ38" s="772"/>
    </row>
    <row r="39" spans="3:114" ht="18.75" customHeight="1" x14ac:dyDescent="0.3">
      <c r="C39" s="772"/>
      <c r="D39" s="783">
        <v>10</v>
      </c>
      <c r="E39" s="1083"/>
      <c r="F39" s="1084"/>
      <c r="G39" s="1084"/>
      <c r="H39" s="1084"/>
      <c r="I39" s="1084"/>
      <c r="J39" s="1084"/>
      <c r="K39" s="1084"/>
      <c r="L39" s="1084"/>
      <c r="M39" s="1084"/>
      <c r="N39" s="1084"/>
      <c r="O39" s="1084"/>
      <c r="P39" s="1084"/>
      <c r="Q39" s="1084"/>
      <c r="R39" s="1084"/>
      <c r="S39" s="1084"/>
      <c r="T39" s="1084"/>
      <c r="U39" s="1084"/>
      <c r="V39" s="1084"/>
      <c r="W39" s="1084"/>
      <c r="X39" s="1084"/>
      <c r="Y39" s="1084"/>
      <c r="Z39" s="1084"/>
      <c r="AA39" s="1084"/>
      <c r="AB39" s="1084"/>
      <c r="AC39" s="1084"/>
      <c r="AD39" s="1084"/>
      <c r="AE39" s="1084"/>
      <c r="AF39" s="1084"/>
      <c r="AG39" s="1084"/>
      <c r="AH39" s="1084"/>
      <c r="AI39" s="1084"/>
      <c r="AJ39" s="1084"/>
      <c r="AK39" s="1084"/>
      <c r="AL39" s="1084"/>
      <c r="AM39" s="1084"/>
      <c r="AN39" s="1084"/>
      <c r="AO39" s="1084"/>
      <c r="AP39" s="1084"/>
      <c r="AQ39" s="784"/>
      <c r="AR39" s="785"/>
      <c r="AS39" s="785"/>
      <c r="AT39" s="1085">
        <v>0</v>
      </c>
      <c r="AU39" s="1086"/>
      <c r="AV39" s="1086"/>
      <c r="AW39" s="1086"/>
      <c r="AX39" s="1086"/>
      <c r="AY39" s="1086"/>
      <c r="AZ39" s="1086"/>
      <c r="BA39" s="1086"/>
      <c r="BB39" s="1086"/>
      <c r="BC39" s="1086"/>
      <c r="BD39" s="1086"/>
      <c r="BE39" s="1086"/>
      <c r="BF39" s="1086"/>
      <c r="BG39" s="786"/>
      <c r="BH39" s="787"/>
      <c r="BI39" s="787"/>
      <c r="BJ39" s="1085">
        <v>0</v>
      </c>
      <c r="BK39" s="1086"/>
      <c r="BL39" s="1086"/>
      <c r="BM39" s="1086"/>
      <c r="BN39" s="1086"/>
      <c r="BO39" s="1086"/>
      <c r="BP39" s="1086"/>
      <c r="BQ39" s="1086"/>
      <c r="BR39" s="1086"/>
      <c r="BS39" s="1086"/>
      <c r="BT39" s="1086"/>
      <c r="BU39" s="1086"/>
      <c r="BV39" s="1086"/>
      <c r="BW39" s="786"/>
      <c r="BX39" s="787"/>
      <c r="BY39" s="787"/>
      <c r="BZ39" s="1087">
        <f t="shared" si="1"/>
        <v>0</v>
      </c>
      <c r="CA39" s="1088"/>
      <c r="CB39" s="1088"/>
      <c r="CC39" s="1088"/>
      <c r="CD39" s="1088"/>
      <c r="CE39" s="1088"/>
      <c r="CF39" s="1088"/>
      <c r="CG39" s="1088"/>
      <c r="CH39" s="1088"/>
      <c r="CI39" s="1088"/>
      <c r="CJ39" s="1088"/>
      <c r="CK39" s="1088"/>
      <c r="CL39" s="1088"/>
      <c r="CM39" s="784"/>
      <c r="CN39" s="785"/>
      <c r="CO39" s="1089"/>
      <c r="CP39" s="1090"/>
      <c r="CQ39" s="1090"/>
      <c r="CR39" s="1090"/>
      <c r="CS39" s="1090"/>
      <c r="CT39" s="1090"/>
      <c r="CU39" s="1090"/>
      <c r="CV39" s="1090"/>
      <c r="CW39" s="1090"/>
      <c r="CX39" s="1090"/>
      <c r="CY39" s="1090"/>
      <c r="CZ39" s="1090"/>
      <c r="DA39" s="1090"/>
      <c r="DB39" s="1090"/>
      <c r="DC39" s="1090"/>
      <c r="DD39" s="1090"/>
      <c r="DE39" s="1090"/>
      <c r="DF39" s="1090"/>
      <c r="DG39" s="1090"/>
      <c r="DH39" s="1090"/>
      <c r="DI39" s="763"/>
      <c r="DJ39" s="772"/>
    </row>
    <row r="40" spans="3:114" ht="18.75" customHeight="1" x14ac:dyDescent="0.3">
      <c r="C40" s="772"/>
      <c r="D40" s="783">
        <v>11</v>
      </c>
      <c r="E40" s="1083"/>
      <c r="F40" s="1084"/>
      <c r="G40" s="1084"/>
      <c r="H40" s="1084"/>
      <c r="I40" s="1084"/>
      <c r="J40" s="1084"/>
      <c r="K40" s="1084"/>
      <c r="L40" s="1084"/>
      <c r="M40" s="1084"/>
      <c r="N40" s="1084"/>
      <c r="O40" s="1084"/>
      <c r="P40" s="1084"/>
      <c r="Q40" s="1084"/>
      <c r="R40" s="1084"/>
      <c r="S40" s="1084"/>
      <c r="T40" s="1084"/>
      <c r="U40" s="1084"/>
      <c r="V40" s="1084"/>
      <c r="W40" s="1084"/>
      <c r="X40" s="1084"/>
      <c r="Y40" s="1084"/>
      <c r="Z40" s="1084"/>
      <c r="AA40" s="1084"/>
      <c r="AB40" s="1084"/>
      <c r="AC40" s="1084"/>
      <c r="AD40" s="1084"/>
      <c r="AE40" s="1084"/>
      <c r="AF40" s="1084"/>
      <c r="AG40" s="1084"/>
      <c r="AH40" s="1084"/>
      <c r="AI40" s="1084"/>
      <c r="AJ40" s="1084"/>
      <c r="AK40" s="1084"/>
      <c r="AL40" s="1084"/>
      <c r="AM40" s="1084"/>
      <c r="AN40" s="1084"/>
      <c r="AO40" s="1084"/>
      <c r="AP40" s="1084"/>
      <c r="AQ40" s="784"/>
      <c r="AR40" s="785"/>
      <c r="AS40" s="785"/>
      <c r="AT40" s="1085">
        <v>0</v>
      </c>
      <c r="AU40" s="1086"/>
      <c r="AV40" s="1086"/>
      <c r="AW40" s="1086"/>
      <c r="AX40" s="1086"/>
      <c r="AY40" s="1086"/>
      <c r="AZ40" s="1086"/>
      <c r="BA40" s="1086"/>
      <c r="BB40" s="1086"/>
      <c r="BC40" s="1086"/>
      <c r="BD40" s="1086"/>
      <c r="BE40" s="1086"/>
      <c r="BF40" s="1086"/>
      <c r="BG40" s="786"/>
      <c r="BH40" s="787"/>
      <c r="BI40" s="787"/>
      <c r="BJ40" s="1085">
        <v>0</v>
      </c>
      <c r="BK40" s="1086"/>
      <c r="BL40" s="1086"/>
      <c r="BM40" s="1086"/>
      <c r="BN40" s="1086"/>
      <c r="BO40" s="1086"/>
      <c r="BP40" s="1086"/>
      <c r="BQ40" s="1086"/>
      <c r="BR40" s="1086"/>
      <c r="BS40" s="1086"/>
      <c r="BT40" s="1086"/>
      <c r="BU40" s="1086"/>
      <c r="BV40" s="1086"/>
      <c r="BW40" s="786"/>
      <c r="BX40" s="787"/>
      <c r="BY40" s="787"/>
      <c r="BZ40" s="1087">
        <f t="shared" si="1"/>
        <v>0</v>
      </c>
      <c r="CA40" s="1088"/>
      <c r="CB40" s="1088"/>
      <c r="CC40" s="1088"/>
      <c r="CD40" s="1088"/>
      <c r="CE40" s="1088"/>
      <c r="CF40" s="1088"/>
      <c r="CG40" s="1088"/>
      <c r="CH40" s="1088"/>
      <c r="CI40" s="1088"/>
      <c r="CJ40" s="1088"/>
      <c r="CK40" s="1088"/>
      <c r="CL40" s="1088"/>
      <c r="CM40" s="784"/>
      <c r="CN40" s="785"/>
      <c r="CO40" s="1089"/>
      <c r="CP40" s="1090"/>
      <c r="CQ40" s="1090"/>
      <c r="CR40" s="1090"/>
      <c r="CS40" s="1090"/>
      <c r="CT40" s="1090"/>
      <c r="CU40" s="1090"/>
      <c r="CV40" s="1090"/>
      <c r="CW40" s="1090"/>
      <c r="CX40" s="1090"/>
      <c r="CY40" s="1090"/>
      <c r="CZ40" s="1090"/>
      <c r="DA40" s="1090"/>
      <c r="DB40" s="1090"/>
      <c r="DC40" s="1090"/>
      <c r="DD40" s="1090"/>
      <c r="DE40" s="1090"/>
      <c r="DF40" s="1090"/>
      <c r="DG40" s="1090"/>
      <c r="DH40" s="1090"/>
      <c r="DJ40" s="772"/>
    </row>
    <row r="41" spans="3:114" ht="18.75" customHeight="1" x14ac:dyDescent="0.3">
      <c r="C41" s="772"/>
      <c r="D41" s="783">
        <v>12</v>
      </c>
      <c r="E41" s="1083"/>
      <c r="F41" s="1084"/>
      <c r="G41" s="1084"/>
      <c r="H41" s="1084"/>
      <c r="I41" s="1084"/>
      <c r="J41" s="1084"/>
      <c r="K41" s="1084"/>
      <c r="L41" s="1084"/>
      <c r="M41" s="1084"/>
      <c r="N41" s="1084"/>
      <c r="O41" s="1084"/>
      <c r="P41" s="1084"/>
      <c r="Q41" s="1084"/>
      <c r="R41" s="1084"/>
      <c r="S41" s="1084"/>
      <c r="T41" s="1084"/>
      <c r="U41" s="1084"/>
      <c r="V41" s="1084"/>
      <c r="W41" s="1084"/>
      <c r="X41" s="1084"/>
      <c r="Y41" s="1084"/>
      <c r="Z41" s="1084"/>
      <c r="AA41" s="1084"/>
      <c r="AB41" s="1084"/>
      <c r="AC41" s="1084"/>
      <c r="AD41" s="1084"/>
      <c r="AE41" s="1084"/>
      <c r="AF41" s="1084"/>
      <c r="AG41" s="1084"/>
      <c r="AH41" s="1084"/>
      <c r="AI41" s="1084"/>
      <c r="AJ41" s="1084"/>
      <c r="AK41" s="1084"/>
      <c r="AL41" s="1084"/>
      <c r="AM41" s="1084"/>
      <c r="AN41" s="1084"/>
      <c r="AO41" s="1084"/>
      <c r="AP41" s="1084"/>
      <c r="AQ41" s="784"/>
      <c r="AR41" s="785"/>
      <c r="AS41" s="785"/>
      <c r="AT41" s="1085">
        <v>0</v>
      </c>
      <c r="AU41" s="1086"/>
      <c r="AV41" s="1086"/>
      <c r="AW41" s="1086"/>
      <c r="AX41" s="1086"/>
      <c r="AY41" s="1086"/>
      <c r="AZ41" s="1086"/>
      <c r="BA41" s="1086"/>
      <c r="BB41" s="1086"/>
      <c r="BC41" s="1086"/>
      <c r="BD41" s="1086"/>
      <c r="BE41" s="1086"/>
      <c r="BF41" s="1086"/>
      <c r="BG41" s="786"/>
      <c r="BH41" s="787"/>
      <c r="BI41" s="787"/>
      <c r="BJ41" s="1085">
        <v>0</v>
      </c>
      <c r="BK41" s="1086"/>
      <c r="BL41" s="1086"/>
      <c r="BM41" s="1086"/>
      <c r="BN41" s="1086"/>
      <c r="BO41" s="1086"/>
      <c r="BP41" s="1086"/>
      <c r="BQ41" s="1086"/>
      <c r="BR41" s="1086"/>
      <c r="BS41" s="1086"/>
      <c r="BT41" s="1086"/>
      <c r="BU41" s="1086"/>
      <c r="BV41" s="1086"/>
      <c r="BW41" s="786"/>
      <c r="BX41" s="787"/>
      <c r="BY41" s="787"/>
      <c r="BZ41" s="1087">
        <f t="shared" si="1"/>
        <v>0</v>
      </c>
      <c r="CA41" s="1088"/>
      <c r="CB41" s="1088"/>
      <c r="CC41" s="1088"/>
      <c r="CD41" s="1088"/>
      <c r="CE41" s="1088"/>
      <c r="CF41" s="1088"/>
      <c r="CG41" s="1088"/>
      <c r="CH41" s="1088"/>
      <c r="CI41" s="1088"/>
      <c r="CJ41" s="1088"/>
      <c r="CK41" s="1088"/>
      <c r="CL41" s="1088"/>
      <c r="CM41" s="784"/>
      <c r="CN41" s="785"/>
      <c r="CO41" s="1089"/>
      <c r="CP41" s="1090"/>
      <c r="CQ41" s="1090"/>
      <c r="CR41" s="1090"/>
      <c r="CS41" s="1090"/>
      <c r="CT41" s="1090"/>
      <c r="CU41" s="1090"/>
      <c r="CV41" s="1090"/>
      <c r="CW41" s="1090"/>
      <c r="CX41" s="1090"/>
      <c r="CY41" s="1090"/>
      <c r="CZ41" s="1090"/>
      <c r="DA41" s="1090"/>
      <c r="DB41" s="1090"/>
      <c r="DC41" s="1090"/>
      <c r="DD41" s="1090"/>
      <c r="DE41" s="1090"/>
      <c r="DF41" s="1090"/>
      <c r="DG41" s="1090"/>
      <c r="DH41" s="1090"/>
      <c r="DI41" s="763"/>
      <c r="DJ41" s="772"/>
    </row>
    <row r="42" spans="3:114" ht="18.75" customHeight="1" x14ac:dyDescent="0.3">
      <c r="C42" s="772"/>
      <c r="D42" s="783">
        <v>13</v>
      </c>
      <c r="E42" s="1083"/>
      <c r="F42" s="1084"/>
      <c r="G42" s="1084"/>
      <c r="H42" s="1084"/>
      <c r="I42" s="1084"/>
      <c r="J42" s="1084"/>
      <c r="K42" s="1084"/>
      <c r="L42" s="1084"/>
      <c r="M42" s="1084"/>
      <c r="N42" s="1084"/>
      <c r="O42" s="1084"/>
      <c r="P42" s="1084"/>
      <c r="Q42" s="1084"/>
      <c r="R42" s="1084"/>
      <c r="S42" s="1084"/>
      <c r="T42" s="1084"/>
      <c r="U42" s="1084"/>
      <c r="V42" s="1084"/>
      <c r="W42" s="1084"/>
      <c r="X42" s="1084"/>
      <c r="Y42" s="1084"/>
      <c r="Z42" s="1084"/>
      <c r="AA42" s="1084"/>
      <c r="AB42" s="1084"/>
      <c r="AC42" s="1084"/>
      <c r="AD42" s="1084"/>
      <c r="AE42" s="1084"/>
      <c r="AF42" s="1084"/>
      <c r="AG42" s="1084"/>
      <c r="AH42" s="1084"/>
      <c r="AI42" s="1084"/>
      <c r="AJ42" s="1084"/>
      <c r="AK42" s="1084"/>
      <c r="AL42" s="1084"/>
      <c r="AM42" s="1084"/>
      <c r="AN42" s="1084"/>
      <c r="AO42" s="1084"/>
      <c r="AP42" s="1084"/>
      <c r="AQ42" s="784"/>
      <c r="AR42" s="785"/>
      <c r="AS42" s="785"/>
      <c r="AT42" s="1085">
        <v>0</v>
      </c>
      <c r="AU42" s="1086"/>
      <c r="AV42" s="1086"/>
      <c r="AW42" s="1086"/>
      <c r="AX42" s="1086"/>
      <c r="AY42" s="1086"/>
      <c r="AZ42" s="1086"/>
      <c r="BA42" s="1086"/>
      <c r="BB42" s="1086"/>
      <c r="BC42" s="1086"/>
      <c r="BD42" s="1086"/>
      <c r="BE42" s="1086"/>
      <c r="BF42" s="1086"/>
      <c r="BG42" s="786"/>
      <c r="BH42" s="787"/>
      <c r="BI42" s="787"/>
      <c r="BJ42" s="1085">
        <v>0</v>
      </c>
      <c r="BK42" s="1086"/>
      <c r="BL42" s="1086"/>
      <c r="BM42" s="1086"/>
      <c r="BN42" s="1086"/>
      <c r="BO42" s="1086"/>
      <c r="BP42" s="1086"/>
      <c r="BQ42" s="1086"/>
      <c r="BR42" s="1086"/>
      <c r="BS42" s="1086"/>
      <c r="BT42" s="1086"/>
      <c r="BU42" s="1086"/>
      <c r="BV42" s="1086"/>
      <c r="BW42" s="786"/>
      <c r="BX42" s="787"/>
      <c r="BY42" s="787"/>
      <c r="BZ42" s="1087">
        <f t="shared" si="1"/>
        <v>0</v>
      </c>
      <c r="CA42" s="1088"/>
      <c r="CB42" s="1088"/>
      <c r="CC42" s="1088"/>
      <c r="CD42" s="1088"/>
      <c r="CE42" s="1088"/>
      <c r="CF42" s="1088"/>
      <c r="CG42" s="1088"/>
      <c r="CH42" s="1088"/>
      <c r="CI42" s="1088"/>
      <c r="CJ42" s="1088"/>
      <c r="CK42" s="1088"/>
      <c r="CL42" s="1088"/>
      <c r="CM42" s="784"/>
      <c r="CN42" s="785"/>
      <c r="CO42" s="1089"/>
      <c r="CP42" s="1090"/>
      <c r="CQ42" s="1090"/>
      <c r="CR42" s="1090"/>
      <c r="CS42" s="1090"/>
      <c r="CT42" s="1090"/>
      <c r="CU42" s="1090"/>
      <c r="CV42" s="1090"/>
      <c r="CW42" s="1090"/>
      <c r="CX42" s="1090"/>
      <c r="CY42" s="1090"/>
      <c r="CZ42" s="1090"/>
      <c r="DA42" s="1090"/>
      <c r="DB42" s="1090"/>
      <c r="DC42" s="1090"/>
      <c r="DD42" s="1090"/>
      <c r="DE42" s="1090"/>
      <c r="DF42" s="1090"/>
      <c r="DG42" s="1090"/>
      <c r="DH42" s="1090"/>
      <c r="DJ42" s="772"/>
    </row>
    <row r="43" spans="3:114" ht="18.75" customHeight="1" x14ac:dyDescent="0.3">
      <c r="C43" s="772"/>
      <c r="D43" s="783">
        <v>14</v>
      </c>
      <c r="E43" s="1083"/>
      <c r="F43" s="1084"/>
      <c r="G43" s="1084"/>
      <c r="H43" s="1084"/>
      <c r="I43" s="1084"/>
      <c r="J43" s="1084"/>
      <c r="K43" s="1084"/>
      <c r="L43" s="1084"/>
      <c r="M43" s="1084"/>
      <c r="N43" s="1084"/>
      <c r="O43" s="1084"/>
      <c r="P43" s="1084"/>
      <c r="Q43" s="1084"/>
      <c r="R43" s="1084"/>
      <c r="S43" s="1084"/>
      <c r="T43" s="1084"/>
      <c r="U43" s="1084"/>
      <c r="V43" s="1084"/>
      <c r="W43" s="1084"/>
      <c r="X43" s="1084"/>
      <c r="Y43" s="1084"/>
      <c r="Z43" s="1084"/>
      <c r="AA43" s="1084"/>
      <c r="AB43" s="1084"/>
      <c r="AC43" s="1084"/>
      <c r="AD43" s="1084"/>
      <c r="AE43" s="1084"/>
      <c r="AF43" s="1084"/>
      <c r="AG43" s="1084"/>
      <c r="AH43" s="1084"/>
      <c r="AI43" s="1084"/>
      <c r="AJ43" s="1084"/>
      <c r="AK43" s="1084"/>
      <c r="AL43" s="1084"/>
      <c r="AM43" s="1084"/>
      <c r="AN43" s="1084"/>
      <c r="AO43" s="1084"/>
      <c r="AP43" s="1084"/>
      <c r="AQ43" s="784"/>
      <c r="AR43" s="785"/>
      <c r="AS43" s="785"/>
      <c r="AT43" s="1085">
        <v>0</v>
      </c>
      <c r="AU43" s="1086"/>
      <c r="AV43" s="1086"/>
      <c r="AW43" s="1086"/>
      <c r="AX43" s="1086"/>
      <c r="AY43" s="1086"/>
      <c r="AZ43" s="1086"/>
      <c r="BA43" s="1086"/>
      <c r="BB43" s="1086"/>
      <c r="BC43" s="1086"/>
      <c r="BD43" s="1086"/>
      <c r="BE43" s="1086"/>
      <c r="BF43" s="1086"/>
      <c r="BG43" s="786"/>
      <c r="BH43" s="787"/>
      <c r="BI43" s="787"/>
      <c r="BJ43" s="1085">
        <v>0</v>
      </c>
      <c r="BK43" s="1086"/>
      <c r="BL43" s="1086"/>
      <c r="BM43" s="1086"/>
      <c r="BN43" s="1086"/>
      <c r="BO43" s="1086"/>
      <c r="BP43" s="1086"/>
      <c r="BQ43" s="1086"/>
      <c r="BR43" s="1086"/>
      <c r="BS43" s="1086"/>
      <c r="BT43" s="1086"/>
      <c r="BU43" s="1086"/>
      <c r="BV43" s="1086"/>
      <c r="BW43" s="786"/>
      <c r="BX43" s="787"/>
      <c r="BY43" s="787"/>
      <c r="BZ43" s="1087">
        <f t="shared" si="1"/>
        <v>0</v>
      </c>
      <c r="CA43" s="1088"/>
      <c r="CB43" s="1088"/>
      <c r="CC43" s="1088"/>
      <c r="CD43" s="1088"/>
      <c r="CE43" s="1088"/>
      <c r="CF43" s="1088"/>
      <c r="CG43" s="1088"/>
      <c r="CH43" s="1088"/>
      <c r="CI43" s="1088"/>
      <c r="CJ43" s="1088"/>
      <c r="CK43" s="1088"/>
      <c r="CL43" s="1088"/>
      <c r="CM43" s="784"/>
      <c r="CN43" s="785"/>
      <c r="CO43" s="1089"/>
      <c r="CP43" s="1090"/>
      <c r="CQ43" s="1090"/>
      <c r="CR43" s="1090"/>
      <c r="CS43" s="1090"/>
      <c r="CT43" s="1090"/>
      <c r="CU43" s="1090"/>
      <c r="CV43" s="1090"/>
      <c r="CW43" s="1090"/>
      <c r="CX43" s="1090"/>
      <c r="CY43" s="1090"/>
      <c r="CZ43" s="1090"/>
      <c r="DA43" s="1090"/>
      <c r="DB43" s="1090"/>
      <c r="DC43" s="1090"/>
      <c r="DD43" s="1090"/>
      <c r="DE43" s="1090"/>
      <c r="DF43" s="1090"/>
      <c r="DG43" s="1090"/>
      <c r="DH43" s="1090"/>
      <c r="DI43" s="763"/>
      <c r="DJ43" s="772"/>
    </row>
    <row r="44" spans="3:114" ht="18.75" customHeight="1" x14ac:dyDescent="0.3">
      <c r="C44" s="772"/>
      <c r="D44" s="783">
        <v>15</v>
      </c>
      <c r="E44" s="1083"/>
      <c r="F44" s="1084"/>
      <c r="G44" s="1084"/>
      <c r="H44" s="1084"/>
      <c r="I44" s="1084"/>
      <c r="J44" s="1084"/>
      <c r="K44" s="1084"/>
      <c r="L44" s="1084"/>
      <c r="M44" s="1084"/>
      <c r="N44" s="1084"/>
      <c r="O44" s="1084"/>
      <c r="P44" s="1084"/>
      <c r="Q44" s="1084"/>
      <c r="R44" s="1084"/>
      <c r="S44" s="1084"/>
      <c r="T44" s="1084"/>
      <c r="U44" s="1084"/>
      <c r="V44" s="1084"/>
      <c r="W44" s="1084"/>
      <c r="X44" s="1084"/>
      <c r="Y44" s="1084"/>
      <c r="Z44" s="1084"/>
      <c r="AA44" s="1084"/>
      <c r="AB44" s="1084"/>
      <c r="AC44" s="1084"/>
      <c r="AD44" s="1084"/>
      <c r="AE44" s="1084"/>
      <c r="AF44" s="1084"/>
      <c r="AG44" s="1084"/>
      <c r="AH44" s="1084"/>
      <c r="AI44" s="1084"/>
      <c r="AJ44" s="1084"/>
      <c r="AK44" s="1084"/>
      <c r="AL44" s="1084"/>
      <c r="AM44" s="1084"/>
      <c r="AN44" s="1084"/>
      <c r="AO44" s="1084"/>
      <c r="AP44" s="1084"/>
      <c r="AQ44" s="784"/>
      <c r="AR44" s="785"/>
      <c r="AS44" s="785"/>
      <c r="AT44" s="1085">
        <v>0</v>
      </c>
      <c r="AU44" s="1086"/>
      <c r="AV44" s="1086"/>
      <c r="AW44" s="1086"/>
      <c r="AX44" s="1086"/>
      <c r="AY44" s="1086"/>
      <c r="AZ44" s="1086"/>
      <c r="BA44" s="1086"/>
      <c r="BB44" s="1086"/>
      <c r="BC44" s="1086"/>
      <c r="BD44" s="1086"/>
      <c r="BE44" s="1086"/>
      <c r="BF44" s="1086"/>
      <c r="BG44" s="786"/>
      <c r="BH44" s="787"/>
      <c r="BI44" s="787"/>
      <c r="BJ44" s="1085">
        <v>0</v>
      </c>
      <c r="BK44" s="1086"/>
      <c r="BL44" s="1086"/>
      <c r="BM44" s="1086"/>
      <c r="BN44" s="1086"/>
      <c r="BO44" s="1086"/>
      <c r="BP44" s="1086"/>
      <c r="BQ44" s="1086"/>
      <c r="BR44" s="1086"/>
      <c r="BS44" s="1086"/>
      <c r="BT44" s="1086"/>
      <c r="BU44" s="1086"/>
      <c r="BV44" s="1086"/>
      <c r="BW44" s="786"/>
      <c r="BX44" s="787"/>
      <c r="BY44" s="787"/>
      <c r="BZ44" s="1087">
        <f t="shared" si="1"/>
        <v>0</v>
      </c>
      <c r="CA44" s="1088"/>
      <c r="CB44" s="1088"/>
      <c r="CC44" s="1088"/>
      <c r="CD44" s="1088"/>
      <c r="CE44" s="1088"/>
      <c r="CF44" s="1088"/>
      <c r="CG44" s="1088"/>
      <c r="CH44" s="1088"/>
      <c r="CI44" s="1088"/>
      <c r="CJ44" s="1088"/>
      <c r="CK44" s="1088"/>
      <c r="CL44" s="1088"/>
      <c r="CM44" s="784"/>
      <c r="CN44" s="785"/>
      <c r="CO44" s="1089"/>
      <c r="CP44" s="1090"/>
      <c r="CQ44" s="1090"/>
      <c r="CR44" s="1090"/>
      <c r="CS44" s="1090"/>
      <c r="CT44" s="1090"/>
      <c r="CU44" s="1090"/>
      <c r="CV44" s="1090"/>
      <c r="CW44" s="1090"/>
      <c r="CX44" s="1090"/>
      <c r="CY44" s="1090"/>
      <c r="CZ44" s="1090"/>
      <c r="DA44" s="1090"/>
      <c r="DB44" s="1090"/>
      <c r="DC44" s="1090"/>
      <c r="DD44" s="1090"/>
      <c r="DE44" s="1090"/>
      <c r="DF44" s="1090"/>
      <c r="DG44" s="1090"/>
      <c r="DH44" s="1090"/>
      <c r="DJ44" s="772"/>
    </row>
    <row r="45" spans="3:114" ht="18.75" customHeight="1" x14ac:dyDescent="0.3">
      <c r="C45" s="772"/>
      <c r="D45" s="783">
        <v>16</v>
      </c>
      <c r="E45" s="1083"/>
      <c r="F45" s="1084"/>
      <c r="G45" s="1084"/>
      <c r="H45" s="1084"/>
      <c r="I45" s="1084"/>
      <c r="J45" s="1084"/>
      <c r="K45" s="1084"/>
      <c r="L45" s="1084"/>
      <c r="M45" s="1084"/>
      <c r="N45" s="1084"/>
      <c r="O45" s="1084"/>
      <c r="P45" s="1084"/>
      <c r="Q45" s="1084"/>
      <c r="R45" s="1084"/>
      <c r="S45" s="1084"/>
      <c r="T45" s="1084"/>
      <c r="U45" s="1084"/>
      <c r="V45" s="1084"/>
      <c r="W45" s="1084"/>
      <c r="X45" s="1084"/>
      <c r="Y45" s="1084"/>
      <c r="Z45" s="1084"/>
      <c r="AA45" s="1084"/>
      <c r="AB45" s="1084"/>
      <c r="AC45" s="1084"/>
      <c r="AD45" s="1084"/>
      <c r="AE45" s="1084"/>
      <c r="AF45" s="1084"/>
      <c r="AG45" s="1084"/>
      <c r="AH45" s="1084"/>
      <c r="AI45" s="1084"/>
      <c r="AJ45" s="1084"/>
      <c r="AK45" s="1084"/>
      <c r="AL45" s="1084"/>
      <c r="AM45" s="1084"/>
      <c r="AN45" s="1084"/>
      <c r="AO45" s="1084"/>
      <c r="AP45" s="1084"/>
      <c r="AQ45" s="784"/>
      <c r="AR45" s="785"/>
      <c r="AS45" s="785"/>
      <c r="AT45" s="1085">
        <v>0</v>
      </c>
      <c r="AU45" s="1086"/>
      <c r="AV45" s="1086"/>
      <c r="AW45" s="1086"/>
      <c r="AX45" s="1086"/>
      <c r="AY45" s="1086"/>
      <c r="AZ45" s="1086"/>
      <c r="BA45" s="1086"/>
      <c r="BB45" s="1086"/>
      <c r="BC45" s="1086"/>
      <c r="BD45" s="1086"/>
      <c r="BE45" s="1086"/>
      <c r="BF45" s="1086"/>
      <c r="BG45" s="786"/>
      <c r="BH45" s="787"/>
      <c r="BI45" s="787"/>
      <c r="BJ45" s="1085">
        <v>0</v>
      </c>
      <c r="BK45" s="1086"/>
      <c r="BL45" s="1086"/>
      <c r="BM45" s="1086"/>
      <c r="BN45" s="1086"/>
      <c r="BO45" s="1086"/>
      <c r="BP45" s="1086"/>
      <c r="BQ45" s="1086"/>
      <c r="BR45" s="1086"/>
      <c r="BS45" s="1086"/>
      <c r="BT45" s="1086"/>
      <c r="BU45" s="1086"/>
      <c r="BV45" s="1086"/>
      <c r="BW45" s="786"/>
      <c r="BX45" s="787"/>
      <c r="BY45" s="787"/>
      <c r="BZ45" s="1087">
        <f t="shared" si="1"/>
        <v>0</v>
      </c>
      <c r="CA45" s="1088"/>
      <c r="CB45" s="1088"/>
      <c r="CC45" s="1088"/>
      <c r="CD45" s="1088"/>
      <c r="CE45" s="1088"/>
      <c r="CF45" s="1088"/>
      <c r="CG45" s="1088"/>
      <c r="CH45" s="1088"/>
      <c r="CI45" s="1088"/>
      <c r="CJ45" s="1088"/>
      <c r="CK45" s="1088"/>
      <c r="CL45" s="1088"/>
      <c r="CM45" s="784"/>
      <c r="CN45" s="785"/>
      <c r="CO45" s="1089"/>
      <c r="CP45" s="1090"/>
      <c r="CQ45" s="1090"/>
      <c r="CR45" s="1090"/>
      <c r="CS45" s="1090"/>
      <c r="CT45" s="1090"/>
      <c r="CU45" s="1090"/>
      <c r="CV45" s="1090"/>
      <c r="CW45" s="1090"/>
      <c r="CX45" s="1090"/>
      <c r="CY45" s="1090"/>
      <c r="CZ45" s="1090"/>
      <c r="DA45" s="1090"/>
      <c r="DB45" s="1090"/>
      <c r="DC45" s="1090"/>
      <c r="DD45" s="1090"/>
      <c r="DE45" s="1090"/>
      <c r="DF45" s="1090"/>
      <c r="DG45" s="1090"/>
      <c r="DH45" s="1090"/>
      <c r="DI45" s="763"/>
      <c r="DJ45" s="772"/>
    </row>
    <row r="46" spans="3:114" ht="18.75" customHeight="1" x14ac:dyDescent="0.3">
      <c r="C46" s="772"/>
      <c r="D46" s="783">
        <v>17</v>
      </c>
      <c r="E46" s="1083"/>
      <c r="F46" s="1084"/>
      <c r="G46" s="1084"/>
      <c r="H46" s="1084"/>
      <c r="I46" s="1084"/>
      <c r="J46" s="1084"/>
      <c r="K46" s="1084"/>
      <c r="L46" s="1084"/>
      <c r="M46" s="1084"/>
      <c r="N46" s="1084"/>
      <c r="O46" s="1084"/>
      <c r="P46" s="1084"/>
      <c r="Q46" s="1084"/>
      <c r="R46" s="1084"/>
      <c r="S46" s="1084"/>
      <c r="T46" s="1084"/>
      <c r="U46" s="1084"/>
      <c r="V46" s="1084"/>
      <c r="W46" s="1084"/>
      <c r="X46" s="1084"/>
      <c r="Y46" s="1084"/>
      <c r="Z46" s="1084"/>
      <c r="AA46" s="1084"/>
      <c r="AB46" s="1084"/>
      <c r="AC46" s="1084"/>
      <c r="AD46" s="1084"/>
      <c r="AE46" s="1084"/>
      <c r="AF46" s="1084"/>
      <c r="AG46" s="1084"/>
      <c r="AH46" s="1084"/>
      <c r="AI46" s="1084"/>
      <c r="AJ46" s="1084"/>
      <c r="AK46" s="1084"/>
      <c r="AL46" s="1084"/>
      <c r="AM46" s="1084"/>
      <c r="AN46" s="1084"/>
      <c r="AO46" s="1084"/>
      <c r="AP46" s="1084"/>
      <c r="AQ46" s="784"/>
      <c r="AR46" s="785"/>
      <c r="AS46" s="785"/>
      <c r="AT46" s="1085">
        <v>0</v>
      </c>
      <c r="AU46" s="1086"/>
      <c r="AV46" s="1086"/>
      <c r="AW46" s="1086"/>
      <c r="AX46" s="1086"/>
      <c r="AY46" s="1086"/>
      <c r="AZ46" s="1086"/>
      <c r="BA46" s="1086"/>
      <c r="BB46" s="1086"/>
      <c r="BC46" s="1086"/>
      <c r="BD46" s="1086"/>
      <c r="BE46" s="1086"/>
      <c r="BF46" s="1086"/>
      <c r="BG46" s="786"/>
      <c r="BH46" s="787"/>
      <c r="BI46" s="787"/>
      <c r="BJ46" s="1085">
        <v>0</v>
      </c>
      <c r="BK46" s="1086"/>
      <c r="BL46" s="1086"/>
      <c r="BM46" s="1086"/>
      <c r="BN46" s="1086"/>
      <c r="BO46" s="1086"/>
      <c r="BP46" s="1086"/>
      <c r="BQ46" s="1086"/>
      <c r="BR46" s="1086"/>
      <c r="BS46" s="1086"/>
      <c r="BT46" s="1086"/>
      <c r="BU46" s="1086"/>
      <c r="BV46" s="1086"/>
      <c r="BW46" s="786"/>
      <c r="BX46" s="787"/>
      <c r="BY46" s="787"/>
      <c r="BZ46" s="1087">
        <f t="shared" si="1"/>
        <v>0</v>
      </c>
      <c r="CA46" s="1088"/>
      <c r="CB46" s="1088"/>
      <c r="CC46" s="1088"/>
      <c r="CD46" s="1088"/>
      <c r="CE46" s="1088"/>
      <c r="CF46" s="1088"/>
      <c r="CG46" s="1088"/>
      <c r="CH46" s="1088"/>
      <c r="CI46" s="1088"/>
      <c r="CJ46" s="1088"/>
      <c r="CK46" s="1088"/>
      <c r="CL46" s="1088"/>
      <c r="CM46" s="784"/>
      <c r="CN46" s="785"/>
      <c r="CO46" s="1089"/>
      <c r="CP46" s="1090"/>
      <c r="CQ46" s="1090"/>
      <c r="CR46" s="1090"/>
      <c r="CS46" s="1090"/>
      <c r="CT46" s="1090"/>
      <c r="CU46" s="1090"/>
      <c r="CV46" s="1090"/>
      <c r="CW46" s="1090"/>
      <c r="CX46" s="1090"/>
      <c r="CY46" s="1090"/>
      <c r="CZ46" s="1090"/>
      <c r="DA46" s="1090"/>
      <c r="DB46" s="1090"/>
      <c r="DC46" s="1090"/>
      <c r="DD46" s="1090"/>
      <c r="DE46" s="1090"/>
      <c r="DF46" s="1090"/>
      <c r="DG46" s="1090"/>
      <c r="DH46" s="1090"/>
      <c r="DJ46" s="772"/>
    </row>
    <row r="47" spans="3:114" ht="18.75" customHeight="1" x14ac:dyDescent="0.3">
      <c r="C47" s="772"/>
      <c r="D47" s="783">
        <v>18</v>
      </c>
      <c r="E47" s="1083"/>
      <c r="F47" s="1084"/>
      <c r="G47" s="1084"/>
      <c r="H47" s="1084"/>
      <c r="I47" s="1084"/>
      <c r="J47" s="1084"/>
      <c r="K47" s="1084"/>
      <c r="L47" s="1084"/>
      <c r="M47" s="1084"/>
      <c r="N47" s="1084"/>
      <c r="O47" s="1084"/>
      <c r="P47" s="1084"/>
      <c r="Q47" s="1084"/>
      <c r="R47" s="1084"/>
      <c r="S47" s="1084"/>
      <c r="T47" s="1084"/>
      <c r="U47" s="1084"/>
      <c r="V47" s="1084"/>
      <c r="W47" s="1084"/>
      <c r="X47" s="1084"/>
      <c r="Y47" s="1084"/>
      <c r="Z47" s="1084"/>
      <c r="AA47" s="1084"/>
      <c r="AB47" s="1084"/>
      <c r="AC47" s="1084"/>
      <c r="AD47" s="1084"/>
      <c r="AE47" s="1084"/>
      <c r="AF47" s="1084"/>
      <c r="AG47" s="1084"/>
      <c r="AH47" s="1084"/>
      <c r="AI47" s="1084"/>
      <c r="AJ47" s="1084"/>
      <c r="AK47" s="1084"/>
      <c r="AL47" s="1084"/>
      <c r="AM47" s="1084"/>
      <c r="AN47" s="1084"/>
      <c r="AO47" s="1084"/>
      <c r="AP47" s="1084"/>
      <c r="AQ47" s="784"/>
      <c r="AR47" s="785"/>
      <c r="AS47" s="785"/>
      <c r="AT47" s="1085">
        <v>0</v>
      </c>
      <c r="AU47" s="1086"/>
      <c r="AV47" s="1086"/>
      <c r="AW47" s="1086"/>
      <c r="AX47" s="1086"/>
      <c r="AY47" s="1086"/>
      <c r="AZ47" s="1086"/>
      <c r="BA47" s="1086"/>
      <c r="BB47" s="1086"/>
      <c r="BC47" s="1086"/>
      <c r="BD47" s="1086"/>
      <c r="BE47" s="1086"/>
      <c r="BF47" s="1086"/>
      <c r="BG47" s="786"/>
      <c r="BH47" s="787"/>
      <c r="BI47" s="787"/>
      <c r="BJ47" s="1085">
        <v>0</v>
      </c>
      <c r="BK47" s="1086"/>
      <c r="BL47" s="1086"/>
      <c r="BM47" s="1086"/>
      <c r="BN47" s="1086"/>
      <c r="BO47" s="1086"/>
      <c r="BP47" s="1086"/>
      <c r="BQ47" s="1086"/>
      <c r="BR47" s="1086"/>
      <c r="BS47" s="1086"/>
      <c r="BT47" s="1086"/>
      <c r="BU47" s="1086"/>
      <c r="BV47" s="1086"/>
      <c r="BW47" s="786"/>
      <c r="BX47" s="787"/>
      <c r="BY47" s="787"/>
      <c r="BZ47" s="1087">
        <f t="shared" si="1"/>
        <v>0</v>
      </c>
      <c r="CA47" s="1088"/>
      <c r="CB47" s="1088"/>
      <c r="CC47" s="1088"/>
      <c r="CD47" s="1088"/>
      <c r="CE47" s="1088"/>
      <c r="CF47" s="1088"/>
      <c r="CG47" s="1088"/>
      <c r="CH47" s="1088"/>
      <c r="CI47" s="1088"/>
      <c r="CJ47" s="1088"/>
      <c r="CK47" s="1088"/>
      <c r="CL47" s="1088"/>
      <c r="CM47" s="784"/>
      <c r="CN47" s="785"/>
      <c r="CO47" s="1089"/>
      <c r="CP47" s="1090"/>
      <c r="CQ47" s="1090"/>
      <c r="CR47" s="1090"/>
      <c r="CS47" s="1090"/>
      <c r="CT47" s="1090"/>
      <c r="CU47" s="1090"/>
      <c r="CV47" s="1090"/>
      <c r="CW47" s="1090"/>
      <c r="CX47" s="1090"/>
      <c r="CY47" s="1090"/>
      <c r="CZ47" s="1090"/>
      <c r="DA47" s="1090"/>
      <c r="DB47" s="1090"/>
      <c r="DC47" s="1090"/>
      <c r="DD47" s="1090"/>
      <c r="DE47" s="1090"/>
      <c r="DF47" s="1090"/>
      <c r="DG47" s="1090"/>
      <c r="DH47" s="1090"/>
      <c r="DI47" s="763"/>
      <c r="DJ47" s="772"/>
    </row>
    <row r="48" spans="3:114" ht="18.75" customHeight="1" x14ac:dyDescent="0.3">
      <c r="C48" s="772"/>
      <c r="D48" s="783">
        <v>19</v>
      </c>
      <c r="E48" s="1083"/>
      <c r="F48" s="1084"/>
      <c r="G48" s="1084"/>
      <c r="H48" s="1084"/>
      <c r="I48" s="1084"/>
      <c r="J48" s="1084"/>
      <c r="K48" s="1084"/>
      <c r="L48" s="1084"/>
      <c r="M48" s="1084"/>
      <c r="N48" s="1084"/>
      <c r="O48" s="1084"/>
      <c r="P48" s="1084"/>
      <c r="Q48" s="1084"/>
      <c r="R48" s="1084"/>
      <c r="S48" s="1084"/>
      <c r="T48" s="1084"/>
      <c r="U48" s="1084"/>
      <c r="V48" s="1084"/>
      <c r="W48" s="1084"/>
      <c r="X48" s="1084"/>
      <c r="Y48" s="1084"/>
      <c r="Z48" s="1084"/>
      <c r="AA48" s="1084"/>
      <c r="AB48" s="1084"/>
      <c r="AC48" s="1084"/>
      <c r="AD48" s="1084"/>
      <c r="AE48" s="1084"/>
      <c r="AF48" s="1084"/>
      <c r="AG48" s="1084"/>
      <c r="AH48" s="1084"/>
      <c r="AI48" s="1084"/>
      <c r="AJ48" s="1084"/>
      <c r="AK48" s="1084"/>
      <c r="AL48" s="1084"/>
      <c r="AM48" s="1084"/>
      <c r="AN48" s="1084"/>
      <c r="AO48" s="1084"/>
      <c r="AP48" s="1084"/>
      <c r="AQ48" s="784"/>
      <c r="AR48" s="785"/>
      <c r="AS48" s="785"/>
      <c r="AT48" s="1085">
        <v>0</v>
      </c>
      <c r="AU48" s="1086"/>
      <c r="AV48" s="1086"/>
      <c r="AW48" s="1086"/>
      <c r="AX48" s="1086"/>
      <c r="AY48" s="1086"/>
      <c r="AZ48" s="1086"/>
      <c r="BA48" s="1086"/>
      <c r="BB48" s="1086"/>
      <c r="BC48" s="1086"/>
      <c r="BD48" s="1086"/>
      <c r="BE48" s="1086"/>
      <c r="BF48" s="1086"/>
      <c r="BG48" s="786"/>
      <c r="BH48" s="787"/>
      <c r="BI48" s="787"/>
      <c r="BJ48" s="1085">
        <v>0</v>
      </c>
      <c r="BK48" s="1086"/>
      <c r="BL48" s="1086"/>
      <c r="BM48" s="1086"/>
      <c r="BN48" s="1086"/>
      <c r="BO48" s="1086"/>
      <c r="BP48" s="1086"/>
      <c r="BQ48" s="1086"/>
      <c r="BR48" s="1086"/>
      <c r="BS48" s="1086"/>
      <c r="BT48" s="1086"/>
      <c r="BU48" s="1086"/>
      <c r="BV48" s="1086"/>
      <c r="BW48" s="786"/>
      <c r="BX48" s="787"/>
      <c r="BY48" s="787"/>
      <c r="BZ48" s="1087">
        <f t="shared" si="1"/>
        <v>0</v>
      </c>
      <c r="CA48" s="1088"/>
      <c r="CB48" s="1088"/>
      <c r="CC48" s="1088"/>
      <c r="CD48" s="1088"/>
      <c r="CE48" s="1088"/>
      <c r="CF48" s="1088"/>
      <c r="CG48" s="1088"/>
      <c r="CH48" s="1088"/>
      <c r="CI48" s="1088"/>
      <c r="CJ48" s="1088"/>
      <c r="CK48" s="1088"/>
      <c r="CL48" s="1088"/>
      <c r="CM48" s="784"/>
      <c r="CN48" s="785"/>
      <c r="CO48" s="1089"/>
      <c r="CP48" s="1090"/>
      <c r="CQ48" s="1090"/>
      <c r="CR48" s="1090"/>
      <c r="CS48" s="1090"/>
      <c r="CT48" s="1090"/>
      <c r="CU48" s="1090"/>
      <c r="CV48" s="1090"/>
      <c r="CW48" s="1090"/>
      <c r="CX48" s="1090"/>
      <c r="CY48" s="1090"/>
      <c r="CZ48" s="1090"/>
      <c r="DA48" s="1090"/>
      <c r="DB48" s="1090"/>
      <c r="DC48" s="1090"/>
      <c r="DD48" s="1090"/>
      <c r="DE48" s="1090"/>
      <c r="DF48" s="1090"/>
      <c r="DG48" s="1090"/>
      <c r="DH48" s="1090"/>
      <c r="DJ48" s="772"/>
    </row>
    <row r="49" spans="3:196" ht="18.75" customHeight="1" x14ac:dyDescent="0.3">
      <c r="C49" s="772"/>
      <c r="D49" s="783">
        <v>20</v>
      </c>
      <c r="E49" s="1083"/>
      <c r="F49" s="1084"/>
      <c r="G49" s="1084"/>
      <c r="H49" s="1084"/>
      <c r="I49" s="1084"/>
      <c r="J49" s="1084"/>
      <c r="K49" s="1084"/>
      <c r="L49" s="1084"/>
      <c r="M49" s="1084"/>
      <c r="N49" s="1084"/>
      <c r="O49" s="1084"/>
      <c r="P49" s="1084"/>
      <c r="Q49" s="1084"/>
      <c r="R49" s="1084"/>
      <c r="S49" s="1084"/>
      <c r="T49" s="1084"/>
      <c r="U49" s="1084"/>
      <c r="V49" s="1084"/>
      <c r="W49" s="1084"/>
      <c r="X49" s="1084"/>
      <c r="Y49" s="1084"/>
      <c r="Z49" s="1084"/>
      <c r="AA49" s="1084"/>
      <c r="AB49" s="1084"/>
      <c r="AC49" s="1084"/>
      <c r="AD49" s="1084"/>
      <c r="AE49" s="1084"/>
      <c r="AF49" s="1084"/>
      <c r="AG49" s="1084"/>
      <c r="AH49" s="1084"/>
      <c r="AI49" s="1084"/>
      <c r="AJ49" s="1084"/>
      <c r="AK49" s="1084"/>
      <c r="AL49" s="1084"/>
      <c r="AM49" s="1084"/>
      <c r="AN49" s="1084"/>
      <c r="AO49" s="1084"/>
      <c r="AP49" s="1084"/>
      <c r="AQ49" s="784"/>
      <c r="AR49" s="785"/>
      <c r="AS49" s="785"/>
      <c r="AT49" s="1085">
        <v>0</v>
      </c>
      <c r="AU49" s="1086"/>
      <c r="AV49" s="1086"/>
      <c r="AW49" s="1086"/>
      <c r="AX49" s="1086"/>
      <c r="AY49" s="1086"/>
      <c r="AZ49" s="1086"/>
      <c r="BA49" s="1086"/>
      <c r="BB49" s="1086"/>
      <c r="BC49" s="1086"/>
      <c r="BD49" s="1086"/>
      <c r="BE49" s="1086"/>
      <c r="BF49" s="1086"/>
      <c r="BG49" s="786"/>
      <c r="BH49" s="787"/>
      <c r="BI49" s="787"/>
      <c r="BJ49" s="1085">
        <v>0</v>
      </c>
      <c r="BK49" s="1086"/>
      <c r="BL49" s="1086"/>
      <c r="BM49" s="1086"/>
      <c r="BN49" s="1086"/>
      <c r="BO49" s="1086"/>
      <c r="BP49" s="1086"/>
      <c r="BQ49" s="1086"/>
      <c r="BR49" s="1086"/>
      <c r="BS49" s="1086"/>
      <c r="BT49" s="1086"/>
      <c r="BU49" s="1086"/>
      <c r="BV49" s="1086"/>
      <c r="BW49" s="786"/>
      <c r="BX49" s="787"/>
      <c r="BY49" s="787"/>
      <c r="BZ49" s="1087">
        <f t="shared" si="1"/>
        <v>0</v>
      </c>
      <c r="CA49" s="1088"/>
      <c r="CB49" s="1088"/>
      <c r="CC49" s="1088"/>
      <c r="CD49" s="1088"/>
      <c r="CE49" s="1088"/>
      <c r="CF49" s="1088"/>
      <c r="CG49" s="1088"/>
      <c r="CH49" s="1088"/>
      <c r="CI49" s="1088"/>
      <c r="CJ49" s="1088"/>
      <c r="CK49" s="1088"/>
      <c r="CL49" s="1088"/>
      <c r="CM49" s="784"/>
      <c r="CN49" s="785"/>
      <c r="CO49" s="1089"/>
      <c r="CP49" s="1090"/>
      <c r="CQ49" s="1090"/>
      <c r="CR49" s="1090"/>
      <c r="CS49" s="1090"/>
      <c r="CT49" s="1090"/>
      <c r="CU49" s="1090"/>
      <c r="CV49" s="1090"/>
      <c r="CW49" s="1090"/>
      <c r="CX49" s="1090"/>
      <c r="CY49" s="1090"/>
      <c r="CZ49" s="1090"/>
      <c r="DA49" s="1090"/>
      <c r="DB49" s="1090"/>
      <c r="DC49" s="1090"/>
      <c r="DD49" s="1090"/>
      <c r="DE49" s="1090"/>
      <c r="DF49" s="1090"/>
      <c r="DG49" s="1090"/>
      <c r="DH49" s="1090"/>
      <c r="DI49" s="763"/>
      <c r="DJ49" s="772"/>
    </row>
    <row r="50" spans="3:196" ht="18.75" customHeight="1" x14ac:dyDescent="0.3">
      <c r="C50" s="772"/>
      <c r="D50" s="783">
        <v>21</v>
      </c>
      <c r="E50" s="1083"/>
      <c r="F50" s="1084"/>
      <c r="G50" s="1084"/>
      <c r="H50" s="1084"/>
      <c r="I50" s="1084"/>
      <c r="J50" s="1084"/>
      <c r="K50" s="1084"/>
      <c r="L50" s="1084"/>
      <c r="M50" s="1084"/>
      <c r="N50" s="1084"/>
      <c r="O50" s="1084"/>
      <c r="P50" s="1084"/>
      <c r="Q50" s="1084"/>
      <c r="R50" s="1084"/>
      <c r="S50" s="1084"/>
      <c r="T50" s="1084"/>
      <c r="U50" s="1084"/>
      <c r="V50" s="1084"/>
      <c r="W50" s="1084"/>
      <c r="X50" s="1084"/>
      <c r="Y50" s="1084"/>
      <c r="Z50" s="1084"/>
      <c r="AA50" s="1084"/>
      <c r="AB50" s="1084"/>
      <c r="AC50" s="1084"/>
      <c r="AD50" s="1084"/>
      <c r="AE50" s="1084"/>
      <c r="AF50" s="1084"/>
      <c r="AG50" s="1084"/>
      <c r="AH50" s="1084"/>
      <c r="AI50" s="1084"/>
      <c r="AJ50" s="1084"/>
      <c r="AK50" s="1084"/>
      <c r="AL50" s="1084"/>
      <c r="AM50" s="1084"/>
      <c r="AN50" s="1084"/>
      <c r="AO50" s="1084"/>
      <c r="AP50" s="1084"/>
      <c r="AQ50" s="784"/>
      <c r="AR50" s="785"/>
      <c r="AS50" s="785"/>
      <c r="AT50" s="1085">
        <v>0</v>
      </c>
      <c r="AU50" s="1086"/>
      <c r="AV50" s="1086"/>
      <c r="AW50" s="1086"/>
      <c r="AX50" s="1086"/>
      <c r="AY50" s="1086"/>
      <c r="AZ50" s="1086"/>
      <c r="BA50" s="1086"/>
      <c r="BB50" s="1086"/>
      <c r="BC50" s="1086"/>
      <c r="BD50" s="1086"/>
      <c r="BE50" s="1086"/>
      <c r="BF50" s="1086"/>
      <c r="BG50" s="786"/>
      <c r="BH50" s="787"/>
      <c r="BI50" s="787"/>
      <c r="BJ50" s="1085">
        <v>0</v>
      </c>
      <c r="BK50" s="1086"/>
      <c r="BL50" s="1086"/>
      <c r="BM50" s="1086"/>
      <c r="BN50" s="1086"/>
      <c r="BO50" s="1086"/>
      <c r="BP50" s="1086"/>
      <c r="BQ50" s="1086"/>
      <c r="BR50" s="1086"/>
      <c r="BS50" s="1086"/>
      <c r="BT50" s="1086"/>
      <c r="BU50" s="1086"/>
      <c r="BV50" s="1086"/>
      <c r="BW50" s="786"/>
      <c r="BX50" s="787"/>
      <c r="BY50" s="787"/>
      <c r="BZ50" s="1087">
        <f t="shared" ref="BZ50:BZ58" si="2">AT50-BJ50</f>
        <v>0</v>
      </c>
      <c r="CA50" s="1088"/>
      <c r="CB50" s="1088"/>
      <c r="CC50" s="1088"/>
      <c r="CD50" s="1088"/>
      <c r="CE50" s="1088"/>
      <c r="CF50" s="1088"/>
      <c r="CG50" s="1088"/>
      <c r="CH50" s="1088"/>
      <c r="CI50" s="1088"/>
      <c r="CJ50" s="1088"/>
      <c r="CK50" s="1088"/>
      <c r="CL50" s="1088"/>
      <c r="CM50" s="784"/>
      <c r="CN50" s="785"/>
      <c r="CO50" s="1089"/>
      <c r="CP50" s="1090"/>
      <c r="CQ50" s="1090"/>
      <c r="CR50" s="1090"/>
      <c r="CS50" s="1090"/>
      <c r="CT50" s="1090"/>
      <c r="CU50" s="1090"/>
      <c r="CV50" s="1090"/>
      <c r="CW50" s="1090"/>
      <c r="CX50" s="1090"/>
      <c r="CY50" s="1090"/>
      <c r="CZ50" s="1090"/>
      <c r="DA50" s="1090"/>
      <c r="DB50" s="1090"/>
      <c r="DC50" s="1090"/>
      <c r="DD50" s="1090"/>
      <c r="DE50" s="1090"/>
      <c r="DF50" s="1090"/>
      <c r="DG50" s="1090"/>
      <c r="DH50" s="1090"/>
      <c r="DJ50" s="772"/>
    </row>
    <row r="51" spans="3:196" ht="18.75" customHeight="1" x14ac:dyDescent="0.3">
      <c r="C51" s="772"/>
      <c r="D51" s="783">
        <v>22</v>
      </c>
      <c r="E51" s="1083"/>
      <c r="F51" s="1084"/>
      <c r="G51" s="1084"/>
      <c r="H51" s="1084"/>
      <c r="I51" s="1084"/>
      <c r="J51" s="1084"/>
      <c r="K51" s="1084"/>
      <c r="L51" s="1084"/>
      <c r="M51" s="1084"/>
      <c r="N51" s="1084"/>
      <c r="O51" s="1084"/>
      <c r="P51" s="1084"/>
      <c r="Q51" s="1084"/>
      <c r="R51" s="1084"/>
      <c r="S51" s="1084"/>
      <c r="T51" s="1084"/>
      <c r="U51" s="1084"/>
      <c r="V51" s="1084"/>
      <c r="W51" s="1084"/>
      <c r="X51" s="1084"/>
      <c r="Y51" s="1084"/>
      <c r="Z51" s="1084"/>
      <c r="AA51" s="1084"/>
      <c r="AB51" s="1084"/>
      <c r="AC51" s="1084"/>
      <c r="AD51" s="1084"/>
      <c r="AE51" s="1084"/>
      <c r="AF51" s="1084"/>
      <c r="AG51" s="1084"/>
      <c r="AH51" s="1084"/>
      <c r="AI51" s="1084"/>
      <c r="AJ51" s="1084"/>
      <c r="AK51" s="1084"/>
      <c r="AL51" s="1084"/>
      <c r="AM51" s="1084"/>
      <c r="AN51" s="1084"/>
      <c r="AO51" s="1084"/>
      <c r="AP51" s="1084"/>
      <c r="AQ51" s="784"/>
      <c r="AR51" s="785"/>
      <c r="AS51" s="785"/>
      <c r="AT51" s="1085">
        <v>0</v>
      </c>
      <c r="AU51" s="1086"/>
      <c r="AV51" s="1086"/>
      <c r="AW51" s="1086"/>
      <c r="AX51" s="1086"/>
      <c r="AY51" s="1086"/>
      <c r="AZ51" s="1086"/>
      <c r="BA51" s="1086"/>
      <c r="BB51" s="1086"/>
      <c r="BC51" s="1086"/>
      <c r="BD51" s="1086"/>
      <c r="BE51" s="1086"/>
      <c r="BF51" s="1086"/>
      <c r="BG51" s="786"/>
      <c r="BH51" s="787"/>
      <c r="BI51" s="787"/>
      <c r="BJ51" s="1085">
        <v>0</v>
      </c>
      <c r="BK51" s="1086"/>
      <c r="BL51" s="1086"/>
      <c r="BM51" s="1086"/>
      <c r="BN51" s="1086"/>
      <c r="BO51" s="1086"/>
      <c r="BP51" s="1086"/>
      <c r="BQ51" s="1086"/>
      <c r="BR51" s="1086"/>
      <c r="BS51" s="1086"/>
      <c r="BT51" s="1086"/>
      <c r="BU51" s="1086"/>
      <c r="BV51" s="1086"/>
      <c r="BW51" s="786"/>
      <c r="BX51" s="787"/>
      <c r="BY51" s="787"/>
      <c r="BZ51" s="1087">
        <f t="shared" si="2"/>
        <v>0</v>
      </c>
      <c r="CA51" s="1088"/>
      <c r="CB51" s="1088"/>
      <c r="CC51" s="1088"/>
      <c r="CD51" s="1088"/>
      <c r="CE51" s="1088"/>
      <c r="CF51" s="1088"/>
      <c r="CG51" s="1088"/>
      <c r="CH51" s="1088"/>
      <c r="CI51" s="1088"/>
      <c r="CJ51" s="1088"/>
      <c r="CK51" s="1088"/>
      <c r="CL51" s="1088"/>
      <c r="CM51" s="784"/>
      <c r="CN51" s="785"/>
      <c r="CO51" s="1089"/>
      <c r="CP51" s="1090"/>
      <c r="CQ51" s="1090"/>
      <c r="CR51" s="1090"/>
      <c r="CS51" s="1090"/>
      <c r="CT51" s="1090"/>
      <c r="CU51" s="1090"/>
      <c r="CV51" s="1090"/>
      <c r="CW51" s="1090"/>
      <c r="CX51" s="1090"/>
      <c r="CY51" s="1090"/>
      <c r="CZ51" s="1090"/>
      <c r="DA51" s="1090"/>
      <c r="DB51" s="1090"/>
      <c r="DC51" s="1090"/>
      <c r="DD51" s="1090"/>
      <c r="DE51" s="1090"/>
      <c r="DF51" s="1090"/>
      <c r="DG51" s="1090"/>
      <c r="DH51" s="1090"/>
      <c r="DI51" s="763"/>
      <c r="DJ51" s="772"/>
    </row>
    <row r="52" spans="3:196" ht="18.75" customHeight="1" x14ac:dyDescent="0.3">
      <c r="C52" s="772"/>
      <c r="D52" s="783">
        <v>23</v>
      </c>
      <c r="E52" s="1083"/>
      <c r="F52" s="1084"/>
      <c r="G52" s="1084"/>
      <c r="H52" s="1084"/>
      <c r="I52" s="1084"/>
      <c r="J52" s="1084"/>
      <c r="K52" s="1084"/>
      <c r="L52" s="1084"/>
      <c r="M52" s="1084"/>
      <c r="N52" s="1084"/>
      <c r="O52" s="1084"/>
      <c r="P52" s="1084"/>
      <c r="Q52" s="1084"/>
      <c r="R52" s="1084"/>
      <c r="S52" s="1084"/>
      <c r="T52" s="1084"/>
      <c r="U52" s="1084"/>
      <c r="V52" s="1084"/>
      <c r="W52" s="1084"/>
      <c r="X52" s="1084"/>
      <c r="Y52" s="1084"/>
      <c r="Z52" s="1084"/>
      <c r="AA52" s="1084"/>
      <c r="AB52" s="1084"/>
      <c r="AC52" s="1084"/>
      <c r="AD52" s="1084"/>
      <c r="AE52" s="1084"/>
      <c r="AF52" s="1084"/>
      <c r="AG52" s="1084"/>
      <c r="AH52" s="1084"/>
      <c r="AI52" s="1084"/>
      <c r="AJ52" s="1084"/>
      <c r="AK52" s="1084"/>
      <c r="AL52" s="1084"/>
      <c r="AM52" s="1084"/>
      <c r="AN52" s="1084"/>
      <c r="AO52" s="1084"/>
      <c r="AP52" s="1084"/>
      <c r="AQ52" s="784"/>
      <c r="AR52" s="785"/>
      <c r="AS52" s="785"/>
      <c r="AT52" s="1085">
        <v>0</v>
      </c>
      <c r="AU52" s="1086"/>
      <c r="AV52" s="1086"/>
      <c r="AW52" s="1086"/>
      <c r="AX52" s="1086"/>
      <c r="AY52" s="1086"/>
      <c r="AZ52" s="1086"/>
      <c r="BA52" s="1086"/>
      <c r="BB52" s="1086"/>
      <c r="BC52" s="1086"/>
      <c r="BD52" s="1086"/>
      <c r="BE52" s="1086"/>
      <c r="BF52" s="1086"/>
      <c r="BG52" s="786"/>
      <c r="BH52" s="787"/>
      <c r="BI52" s="787"/>
      <c r="BJ52" s="1085">
        <v>0</v>
      </c>
      <c r="BK52" s="1086"/>
      <c r="BL52" s="1086"/>
      <c r="BM52" s="1086"/>
      <c r="BN52" s="1086"/>
      <c r="BO52" s="1086"/>
      <c r="BP52" s="1086"/>
      <c r="BQ52" s="1086"/>
      <c r="BR52" s="1086"/>
      <c r="BS52" s="1086"/>
      <c r="BT52" s="1086"/>
      <c r="BU52" s="1086"/>
      <c r="BV52" s="1086"/>
      <c r="BW52" s="786"/>
      <c r="BX52" s="787"/>
      <c r="BY52" s="787"/>
      <c r="BZ52" s="1087">
        <f t="shared" si="2"/>
        <v>0</v>
      </c>
      <c r="CA52" s="1088"/>
      <c r="CB52" s="1088"/>
      <c r="CC52" s="1088"/>
      <c r="CD52" s="1088"/>
      <c r="CE52" s="1088"/>
      <c r="CF52" s="1088"/>
      <c r="CG52" s="1088"/>
      <c r="CH52" s="1088"/>
      <c r="CI52" s="1088"/>
      <c r="CJ52" s="1088"/>
      <c r="CK52" s="1088"/>
      <c r="CL52" s="1088"/>
      <c r="CM52" s="784"/>
      <c r="CN52" s="785"/>
      <c r="CO52" s="1089"/>
      <c r="CP52" s="1090"/>
      <c r="CQ52" s="1090"/>
      <c r="CR52" s="1090"/>
      <c r="CS52" s="1090"/>
      <c r="CT52" s="1090"/>
      <c r="CU52" s="1090"/>
      <c r="CV52" s="1090"/>
      <c r="CW52" s="1090"/>
      <c r="CX52" s="1090"/>
      <c r="CY52" s="1090"/>
      <c r="CZ52" s="1090"/>
      <c r="DA52" s="1090"/>
      <c r="DB52" s="1090"/>
      <c r="DC52" s="1090"/>
      <c r="DD52" s="1090"/>
      <c r="DE52" s="1090"/>
      <c r="DF52" s="1090"/>
      <c r="DG52" s="1090"/>
      <c r="DH52" s="1090"/>
      <c r="DJ52" s="772"/>
    </row>
    <row r="53" spans="3:196" ht="18.75" customHeight="1" x14ac:dyDescent="0.3">
      <c r="C53" s="772"/>
      <c r="D53" s="783">
        <v>24</v>
      </c>
      <c r="E53" s="1083"/>
      <c r="F53" s="1084"/>
      <c r="G53" s="1084"/>
      <c r="H53" s="1084"/>
      <c r="I53" s="1084"/>
      <c r="J53" s="1084"/>
      <c r="K53" s="1084"/>
      <c r="L53" s="1084"/>
      <c r="M53" s="1084"/>
      <c r="N53" s="1084"/>
      <c r="O53" s="1084"/>
      <c r="P53" s="1084"/>
      <c r="Q53" s="1084"/>
      <c r="R53" s="1084"/>
      <c r="S53" s="1084"/>
      <c r="T53" s="1084"/>
      <c r="U53" s="1084"/>
      <c r="V53" s="1084"/>
      <c r="W53" s="1084"/>
      <c r="X53" s="1084"/>
      <c r="Y53" s="1084"/>
      <c r="Z53" s="1084"/>
      <c r="AA53" s="1084"/>
      <c r="AB53" s="1084"/>
      <c r="AC53" s="1084"/>
      <c r="AD53" s="1084"/>
      <c r="AE53" s="1084"/>
      <c r="AF53" s="1084"/>
      <c r="AG53" s="1084"/>
      <c r="AH53" s="1084"/>
      <c r="AI53" s="1084"/>
      <c r="AJ53" s="1084"/>
      <c r="AK53" s="1084"/>
      <c r="AL53" s="1084"/>
      <c r="AM53" s="1084"/>
      <c r="AN53" s="1084"/>
      <c r="AO53" s="1084"/>
      <c r="AP53" s="1084"/>
      <c r="AQ53" s="784"/>
      <c r="AR53" s="785"/>
      <c r="AS53" s="785"/>
      <c r="AT53" s="1085">
        <v>0</v>
      </c>
      <c r="AU53" s="1086"/>
      <c r="AV53" s="1086"/>
      <c r="AW53" s="1086"/>
      <c r="AX53" s="1086"/>
      <c r="AY53" s="1086"/>
      <c r="AZ53" s="1086"/>
      <c r="BA53" s="1086"/>
      <c r="BB53" s="1086"/>
      <c r="BC53" s="1086"/>
      <c r="BD53" s="1086"/>
      <c r="BE53" s="1086"/>
      <c r="BF53" s="1086"/>
      <c r="BG53" s="786"/>
      <c r="BH53" s="787"/>
      <c r="BI53" s="787"/>
      <c r="BJ53" s="1085">
        <v>0</v>
      </c>
      <c r="BK53" s="1086"/>
      <c r="BL53" s="1086"/>
      <c r="BM53" s="1086"/>
      <c r="BN53" s="1086"/>
      <c r="BO53" s="1086"/>
      <c r="BP53" s="1086"/>
      <c r="BQ53" s="1086"/>
      <c r="BR53" s="1086"/>
      <c r="BS53" s="1086"/>
      <c r="BT53" s="1086"/>
      <c r="BU53" s="1086"/>
      <c r="BV53" s="1086"/>
      <c r="BW53" s="786"/>
      <c r="BX53" s="787"/>
      <c r="BY53" s="787"/>
      <c r="BZ53" s="1087">
        <f t="shared" si="2"/>
        <v>0</v>
      </c>
      <c r="CA53" s="1088"/>
      <c r="CB53" s="1088"/>
      <c r="CC53" s="1088"/>
      <c r="CD53" s="1088"/>
      <c r="CE53" s="1088"/>
      <c r="CF53" s="1088"/>
      <c r="CG53" s="1088"/>
      <c r="CH53" s="1088"/>
      <c r="CI53" s="1088"/>
      <c r="CJ53" s="1088"/>
      <c r="CK53" s="1088"/>
      <c r="CL53" s="1088"/>
      <c r="CM53" s="784"/>
      <c r="CN53" s="785"/>
      <c r="CO53" s="1089"/>
      <c r="CP53" s="1090"/>
      <c r="CQ53" s="1090"/>
      <c r="CR53" s="1090"/>
      <c r="CS53" s="1090"/>
      <c r="CT53" s="1090"/>
      <c r="CU53" s="1090"/>
      <c r="CV53" s="1090"/>
      <c r="CW53" s="1090"/>
      <c r="CX53" s="1090"/>
      <c r="CY53" s="1090"/>
      <c r="CZ53" s="1090"/>
      <c r="DA53" s="1090"/>
      <c r="DB53" s="1090"/>
      <c r="DC53" s="1090"/>
      <c r="DD53" s="1090"/>
      <c r="DE53" s="1090"/>
      <c r="DF53" s="1090"/>
      <c r="DG53" s="1090"/>
      <c r="DH53" s="1090"/>
      <c r="DJ53" s="772"/>
    </row>
    <row r="54" spans="3:196" ht="18.75" customHeight="1" x14ac:dyDescent="0.3">
      <c r="C54" s="772"/>
      <c r="D54" s="783">
        <v>25</v>
      </c>
      <c r="E54" s="1083"/>
      <c r="F54" s="1084"/>
      <c r="G54" s="1084"/>
      <c r="H54" s="1084"/>
      <c r="I54" s="1084"/>
      <c r="J54" s="1084"/>
      <c r="K54" s="1084"/>
      <c r="L54" s="1084"/>
      <c r="M54" s="1084"/>
      <c r="N54" s="1084"/>
      <c r="O54" s="1084"/>
      <c r="P54" s="1084"/>
      <c r="Q54" s="1084"/>
      <c r="R54" s="1084"/>
      <c r="S54" s="1084"/>
      <c r="T54" s="1084"/>
      <c r="U54" s="1084"/>
      <c r="V54" s="1084"/>
      <c r="W54" s="1084"/>
      <c r="X54" s="1084"/>
      <c r="Y54" s="1084"/>
      <c r="Z54" s="1084"/>
      <c r="AA54" s="1084"/>
      <c r="AB54" s="1084"/>
      <c r="AC54" s="1084"/>
      <c r="AD54" s="1084"/>
      <c r="AE54" s="1084"/>
      <c r="AF54" s="1084"/>
      <c r="AG54" s="1084"/>
      <c r="AH54" s="1084"/>
      <c r="AI54" s="1084"/>
      <c r="AJ54" s="1084"/>
      <c r="AK54" s="1084"/>
      <c r="AL54" s="1084"/>
      <c r="AM54" s="1084"/>
      <c r="AN54" s="1084"/>
      <c r="AO54" s="1084"/>
      <c r="AP54" s="1084"/>
      <c r="AQ54" s="784"/>
      <c r="AR54" s="785"/>
      <c r="AS54" s="785"/>
      <c r="AT54" s="1085">
        <v>0</v>
      </c>
      <c r="AU54" s="1086"/>
      <c r="AV54" s="1086"/>
      <c r="AW54" s="1086"/>
      <c r="AX54" s="1086"/>
      <c r="AY54" s="1086"/>
      <c r="AZ54" s="1086"/>
      <c r="BA54" s="1086"/>
      <c r="BB54" s="1086"/>
      <c r="BC54" s="1086"/>
      <c r="BD54" s="1086"/>
      <c r="BE54" s="1086"/>
      <c r="BF54" s="1086"/>
      <c r="BG54" s="786"/>
      <c r="BH54" s="787"/>
      <c r="BI54" s="787"/>
      <c r="BJ54" s="1085">
        <v>0</v>
      </c>
      <c r="BK54" s="1086"/>
      <c r="BL54" s="1086"/>
      <c r="BM54" s="1086"/>
      <c r="BN54" s="1086"/>
      <c r="BO54" s="1086"/>
      <c r="BP54" s="1086"/>
      <c r="BQ54" s="1086"/>
      <c r="BR54" s="1086"/>
      <c r="BS54" s="1086"/>
      <c r="BT54" s="1086"/>
      <c r="BU54" s="1086"/>
      <c r="BV54" s="1086"/>
      <c r="BW54" s="786"/>
      <c r="BX54" s="787"/>
      <c r="BY54" s="787"/>
      <c r="BZ54" s="1087">
        <f t="shared" si="2"/>
        <v>0</v>
      </c>
      <c r="CA54" s="1088"/>
      <c r="CB54" s="1088"/>
      <c r="CC54" s="1088"/>
      <c r="CD54" s="1088"/>
      <c r="CE54" s="1088"/>
      <c r="CF54" s="1088"/>
      <c r="CG54" s="1088"/>
      <c r="CH54" s="1088"/>
      <c r="CI54" s="1088"/>
      <c r="CJ54" s="1088"/>
      <c r="CK54" s="1088"/>
      <c r="CL54" s="1088"/>
      <c r="CM54" s="784"/>
      <c r="CN54" s="785"/>
      <c r="CO54" s="1089"/>
      <c r="CP54" s="1090"/>
      <c r="CQ54" s="1090"/>
      <c r="CR54" s="1090"/>
      <c r="CS54" s="1090"/>
      <c r="CT54" s="1090"/>
      <c r="CU54" s="1090"/>
      <c r="CV54" s="1090"/>
      <c r="CW54" s="1090"/>
      <c r="CX54" s="1090"/>
      <c r="CY54" s="1090"/>
      <c r="CZ54" s="1090"/>
      <c r="DA54" s="1090"/>
      <c r="DB54" s="1090"/>
      <c r="DC54" s="1090"/>
      <c r="DD54" s="1090"/>
      <c r="DE54" s="1090"/>
      <c r="DF54" s="1090"/>
      <c r="DG54" s="1090"/>
      <c r="DH54" s="1090"/>
      <c r="DI54" s="763"/>
      <c r="DJ54" s="772"/>
    </row>
    <row r="55" spans="3:196" ht="18.75" customHeight="1" x14ac:dyDescent="0.3">
      <c r="C55" s="772"/>
      <c r="D55" s="783">
        <v>26</v>
      </c>
      <c r="E55" s="1083"/>
      <c r="F55" s="1084"/>
      <c r="G55" s="1084"/>
      <c r="H55" s="1084"/>
      <c r="I55" s="1084"/>
      <c r="J55" s="1084"/>
      <c r="K55" s="1084"/>
      <c r="L55" s="1084"/>
      <c r="M55" s="1084"/>
      <c r="N55" s="1084"/>
      <c r="O55" s="1084"/>
      <c r="P55" s="1084"/>
      <c r="Q55" s="1084"/>
      <c r="R55" s="1084"/>
      <c r="S55" s="1084"/>
      <c r="T55" s="1084"/>
      <c r="U55" s="1084"/>
      <c r="V55" s="1084"/>
      <c r="W55" s="1084"/>
      <c r="X55" s="1084"/>
      <c r="Y55" s="1084"/>
      <c r="Z55" s="1084"/>
      <c r="AA55" s="1084"/>
      <c r="AB55" s="1084"/>
      <c r="AC55" s="1084"/>
      <c r="AD55" s="1084"/>
      <c r="AE55" s="1084"/>
      <c r="AF55" s="1084"/>
      <c r="AG55" s="1084"/>
      <c r="AH55" s="1084"/>
      <c r="AI55" s="1084"/>
      <c r="AJ55" s="1084"/>
      <c r="AK55" s="1084"/>
      <c r="AL55" s="1084"/>
      <c r="AM55" s="1084"/>
      <c r="AN55" s="1084"/>
      <c r="AO55" s="1084"/>
      <c r="AP55" s="1084"/>
      <c r="AQ55" s="784"/>
      <c r="AR55" s="785"/>
      <c r="AS55" s="785"/>
      <c r="AT55" s="1085">
        <v>0</v>
      </c>
      <c r="AU55" s="1086"/>
      <c r="AV55" s="1086"/>
      <c r="AW55" s="1086"/>
      <c r="AX55" s="1086"/>
      <c r="AY55" s="1086"/>
      <c r="AZ55" s="1086"/>
      <c r="BA55" s="1086"/>
      <c r="BB55" s="1086"/>
      <c r="BC55" s="1086"/>
      <c r="BD55" s="1086"/>
      <c r="BE55" s="1086"/>
      <c r="BF55" s="1086"/>
      <c r="BG55" s="786"/>
      <c r="BH55" s="787"/>
      <c r="BI55" s="787"/>
      <c r="BJ55" s="1085">
        <v>0</v>
      </c>
      <c r="BK55" s="1086"/>
      <c r="BL55" s="1086"/>
      <c r="BM55" s="1086"/>
      <c r="BN55" s="1086"/>
      <c r="BO55" s="1086"/>
      <c r="BP55" s="1086"/>
      <c r="BQ55" s="1086"/>
      <c r="BR55" s="1086"/>
      <c r="BS55" s="1086"/>
      <c r="BT55" s="1086"/>
      <c r="BU55" s="1086"/>
      <c r="BV55" s="1086"/>
      <c r="BW55" s="786"/>
      <c r="BX55" s="787"/>
      <c r="BY55" s="787"/>
      <c r="BZ55" s="1087">
        <f t="shared" si="2"/>
        <v>0</v>
      </c>
      <c r="CA55" s="1088"/>
      <c r="CB55" s="1088"/>
      <c r="CC55" s="1088"/>
      <c r="CD55" s="1088"/>
      <c r="CE55" s="1088"/>
      <c r="CF55" s="1088"/>
      <c r="CG55" s="1088"/>
      <c r="CH55" s="1088"/>
      <c r="CI55" s="1088"/>
      <c r="CJ55" s="1088"/>
      <c r="CK55" s="1088"/>
      <c r="CL55" s="1088"/>
      <c r="CM55" s="784"/>
      <c r="CN55" s="785"/>
      <c r="CO55" s="1089"/>
      <c r="CP55" s="1090"/>
      <c r="CQ55" s="1090"/>
      <c r="CR55" s="1090"/>
      <c r="CS55" s="1090"/>
      <c r="CT55" s="1090"/>
      <c r="CU55" s="1090"/>
      <c r="CV55" s="1090"/>
      <c r="CW55" s="1090"/>
      <c r="CX55" s="1090"/>
      <c r="CY55" s="1090"/>
      <c r="CZ55" s="1090"/>
      <c r="DA55" s="1090"/>
      <c r="DB55" s="1090"/>
      <c r="DC55" s="1090"/>
      <c r="DD55" s="1090"/>
      <c r="DE55" s="1090"/>
      <c r="DF55" s="1090"/>
      <c r="DG55" s="1090"/>
      <c r="DH55" s="1090"/>
      <c r="DJ55" s="772"/>
    </row>
    <row r="56" spans="3:196" ht="18.75" customHeight="1" x14ac:dyDescent="0.3">
      <c r="C56" s="772"/>
      <c r="D56" s="783">
        <v>27</v>
      </c>
      <c r="E56" s="1083"/>
      <c r="F56" s="1084"/>
      <c r="G56" s="1084"/>
      <c r="H56" s="1084"/>
      <c r="I56" s="1084"/>
      <c r="J56" s="1084"/>
      <c r="K56" s="1084"/>
      <c r="L56" s="1084"/>
      <c r="M56" s="1084"/>
      <c r="N56" s="1084"/>
      <c r="O56" s="1084"/>
      <c r="P56" s="1084"/>
      <c r="Q56" s="1084"/>
      <c r="R56" s="1084"/>
      <c r="S56" s="1084"/>
      <c r="T56" s="1084"/>
      <c r="U56" s="1084"/>
      <c r="V56" s="1084"/>
      <c r="W56" s="1084"/>
      <c r="X56" s="1084"/>
      <c r="Y56" s="1084"/>
      <c r="Z56" s="1084"/>
      <c r="AA56" s="1084"/>
      <c r="AB56" s="1084"/>
      <c r="AC56" s="1084"/>
      <c r="AD56" s="1084"/>
      <c r="AE56" s="1084"/>
      <c r="AF56" s="1084"/>
      <c r="AG56" s="1084"/>
      <c r="AH56" s="1084"/>
      <c r="AI56" s="1084"/>
      <c r="AJ56" s="1084"/>
      <c r="AK56" s="1084"/>
      <c r="AL56" s="1084"/>
      <c r="AM56" s="1084"/>
      <c r="AN56" s="1084"/>
      <c r="AO56" s="1084"/>
      <c r="AP56" s="1084"/>
      <c r="AQ56" s="784"/>
      <c r="AR56" s="785"/>
      <c r="AS56" s="785"/>
      <c r="AT56" s="1085">
        <v>0</v>
      </c>
      <c r="AU56" s="1086"/>
      <c r="AV56" s="1086"/>
      <c r="AW56" s="1086"/>
      <c r="AX56" s="1086"/>
      <c r="AY56" s="1086"/>
      <c r="AZ56" s="1086"/>
      <c r="BA56" s="1086"/>
      <c r="BB56" s="1086"/>
      <c r="BC56" s="1086"/>
      <c r="BD56" s="1086"/>
      <c r="BE56" s="1086"/>
      <c r="BF56" s="1086"/>
      <c r="BG56" s="786"/>
      <c r="BH56" s="787"/>
      <c r="BI56" s="787"/>
      <c r="BJ56" s="1085">
        <v>0</v>
      </c>
      <c r="BK56" s="1086"/>
      <c r="BL56" s="1086"/>
      <c r="BM56" s="1086"/>
      <c r="BN56" s="1086"/>
      <c r="BO56" s="1086"/>
      <c r="BP56" s="1086"/>
      <c r="BQ56" s="1086"/>
      <c r="BR56" s="1086"/>
      <c r="BS56" s="1086"/>
      <c r="BT56" s="1086"/>
      <c r="BU56" s="1086"/>
      <c r="BV56" s="1086"/>
      <c r="BW56" s="786"/>
      <c r="BX56" s="787"/>
      <c r="BY56" s="787"/>
      <c r="BZ56" s="1087">
        <f t="shared" si="2"/>
        <v>0</v>
      </c>
      <c r="CA56" s="1088"/>
      <c r="CB56" s="1088"/>
      <c r="CC56" s="1088"/>
      <c r="CD56" s="1088"/>
      <c r="CE56" s="1088"/>
      <c r="CF56" s="1088"/>
      <c r="CG56" s="1088"/>
      <c r="CH56" s="1088"/>
      <c r="CI56" s="1088"/>
      <c r="CJ56" s="1088"/>
      <c r="CK56" s="1088"/>
      <c r="CL56" s="1088"/>
      <c r="CM56" s="784"/>
      <c r="CN56" s="785"/>
      <c r="CO56" s="1089"/>
      <c r="CP56" s="1090"/>
      <c r="CQ56" s="1090"/>
      <c r="CR56" s="1090"/>
      <c r="CS56" s="1090"/>
      <c r="CT56" s="1090"/>
      <c r="CU56" s="1090"/>
      <c r="CV56" s="1090"/>
      <c r="CW56" s="1090"/>
      <c r="CX56" s="1090"/>
      <c r="CY56" s="1090"/>
      <c r="CZ56" s="1090"/>
      <c r="DA56" s="1090"/>
      <c r="DB56" s="1090"/>
      <c r="DC56" s="1090"/>
      <c r="DD56" s="1090"/>
      <c r="DE56" s="1090"/>
      <c r="DF56" s="1090"/>
      <c r="DG56" s="1090"/>
      <c r="DH56" s="1090"/>
      <c r="DJ56" s="772"/>
    </row>
    <row r="57" spans="3:196" ht="18.75" customHeight="1" x14ac:dyDescent="0.3">
      <c r="C57" s="772"/>
      <c r="D57" s="783">
        <v>28</v>
      </c>
      <c r="E57" s="1083"/>
      <c r="F57" s="1084"/>
      <c r="G57" s="1084"/>
      <c r="H57" s="1084"/>
      <c r="I57" s="1084"/>
      <c r="J57" s="1084"/>
      <c r="K57" s="1084"/>
      <c r="L57" s="1084"/>
      <c r="M57" s="1084"/>
      <c r="N57" s="1084"/>
      <c r="O57" s="1084"/>
      <c r="P57" s="1084"/>
      <c r="Q57" s="1084"/>
      <c r="R57" s="1084"/>
      <c r="S57" s="1084"/>
      <c r="T57" s="1084"/>
      <c r="U57" s="1084"/>
      <c r="V57" s="1084"/>
      <c r="W57" s="1084"/>
      <c r="X57" s="1084"/>
      <c r="Y57" s="1084"/>
      <c r="Z57" s="1084"/>
      <c r="AA57" s="1084"/>
      <c r="AB57" s="1084"/>
      <c r="AC57" s="1084"/>
      <c r="AD57" s="1084"/>
      <c r="AE57" s="1084"/>
      <c r="AF57" s="1084"/>
      <c r="AG57" s="1084"/>
      <c r="AH57" s="1084"/>
      <c r="AI57" s="1084"/>
      <c r="AJ57" s="1084"/>
      <c r="AK57" s="1084"/>
      <c r="AL57" s="1084"/>
      <c r="AM57" s="1084"/>
      <c r="AN57" s="1084"/>
      <c r="AO57" s="1084"/>
      <c r="AP57" s="1084"/>
      <c r="AQ57" s="784"/>
      <c r="AR57" s="785"/>
      <c r="AS57" s="785"/>
      <c r="AT57" s="1085">
        <v>0</v>
      </c>
      <c r="AU57" s="1086"/>
      <c r="AV57" s="1086"/>
      <c r="AW57" s="1086"/>
      <c r="AX57" s="1086"/>
      <c r="AY57" s="1086"/>
      <c r="AZ57" s="1086"/>
      <c r="BA57" s="1086"/>
      <c r="BB57" s="1086"/>
      <c r="BC57" s="1086"/>
      <c r="BD57" s="1086"/>
      <c r="BE57" s="1086"/>
      <c r="BF57" s="1086"/>
      <c r="BG57" s="786"/>
      <c r="BH57" s="787"/>
      <c r="BI57" s="787"/>
      <c r="BJ57" s="1085">
        <v>0</v>
      </c>
      <c r="BK57" s="1086"/>
      <c r="BL57" s="1086"/>
      <c r="BM57" s="1086"/>
      <c r="BN57" s="1086"/>
      <c r="BO57" s="1086"/>
      <c r="BP57" s="1086"/>
      <c r="BQ57" s="1086"/>
      <c r="BR57" s="1086"/>
      <c r="BS57" s="1086"/>
      <c r="BT57" s="1086"/>
      <c r="BU57" s="1086"/>
      <c r="BV57" s="1086"/>
      <c r="BW57" s="786"/>
      <c r="BX57" s="787"/>
      <c r="BY57" s="787"/>
      <c r="BZ57" s="1087">
        <f t="shared" si="2"/>
        <v>0</v>
      </c>
      <c r="CA57" s="1088"/>
      <c r="CB57" s="1088"/>
      <c r="CC57" s="1088"/>
      <c r="CD57" s="1088"/>
      <c r="CE57" s="1088"/>
      <c r="CF57" s="1088"/>
      <c r="CG57" s="1088"/>
      <c r="CH57" s="1088"/>
      <c r="CI57" s="1088"/>
      <c r="CJ57" s="1088"/>
      <c r="CK57" s="1088"/>
      <c r="CL57" s="1088"/>
      <c r="CM57" s="784"/>
      <c r="CN57" s="785"/>
      <c r="CO57" s="1089"/>
      <c r="CP57" s="1090"/>
      <c r="CQ57" s="1090"/>
      <c r="CR57" s="1090"/>
      <c r="CS57" s="1090"/>
      <c r="CT57" s="1090"/>
      <c r="CU57" s="1090"/>
      <c r="CV57" s="1090"/>
      <c r="CW57" s="1090"/>
      <c r="CX57" s="1090"/>
      <c r="CY57" s="1090"/>
      <c r="CZ57" s="1090"/>
      <c r="DA57" s="1090"/>
      <c r="DB57" s="1090"/>
      <c r="DC57" s="1090"/>
      <c r="DD57" s="1090"/>
      <c r="DE57" s="1090"/>
      <c r="DF57" s="1090"/>
      <c r="DG57" s="1090"/>
      <c r="DH57" s="1090"/>
      <c r="DI57" s="763"/>
      <c r="DJ57" s="772"/>
    </row>
    <row r="58" spans="3:196" ht="18.75" customHeight="1" x14ac:dyDescent="0.3">
      <c r="C58" s="772"/>
      <c r="D58" s="783">
        <v>29</v>
      </c>
      <c r="E58" s="1083"/>
      <c r="F58" s="1084"/>
      <c r="G58" s="1084"/>
      <c r="H58" s="1084"/>
      <c r="I58" s="1084"/>
      <c r="J58" s="1084"/>
      <c r="K58" s="1084"/>
      <c r="L58" s="1084"/>
      <c r="M58" s="1084"/>
      <c r="N58" s="1084"/>
      <c r="O58" s="1084"/>
      <c r="P58" s="1084"/>
      <c r="Q58" s="1084"/>
      <c r="R58" s="1084"/>
      <c r="S58" s="1084"/>
      <c r="T58" s="1084"/>
      <c r="U58" s="1084"/>
      <c r="V58" s="1084"/>
      <c r="W58" s="1084"/>
      <c r="X58" s="1084"/>
      <c r="Y58" s="1084"/>
      <c r="Z58" s="1084"/>
      <c r="AA58" s="1084"/>
      <c r="AB58" s="1084"/>
      <c r="AC58" s="1084"/>
      <c r="AD58" s="1084"/>
      <c r="AE58" s="1084"/>
      <c r="AF58" s="1084"/>
      <c r="AG58" s="1084"/>
      <c r="AH58" s="1084"/>
      <c r="AI58" s="1084"/>
      <c r="AJ58" s="1084"/>
      <c r="AK58" s="1084"/>
      <c r="AL58" s="1084"/>
      <c r="AM58" s="1084"/>
      <c r="AN58" s="1084"/>
      <c r="AO58" s="1084"/>
      <c r="AP58" s="1084"/>
      <c r="AQ58" s="784"/>
      <c r="AR58" s="785"/>
      <c r="AS58" s="785"/>
      <c r="AT58" s="1085">
        <v>0</v>
      </c>
      <c r="AU58" s="1086"/>
      <c r="AV58" s="1086"/>
      <c r="AW58" s="1086"/>
      <c r="AX58" s="1086"/>
      <c r="AY58" s="1086"/>
      <c r="AZ58" s="1086"/>
      <c r="BA58" s="1086"/>
      <c r="BB58" s="1086"/>
      <c r="BC58" s="1086"/>
      <c r="BD58" s="1086"/>
      <c r="BE58" s="1086"/>
      <c r="BF58" s="1086"/>
      <c r="BG58" s="786"/>
      <c r="BH58" s="787"/>
      <c r="BI58" s="787"/>
      <c r="BJ58" s="1085">
        <v>0</v>
      </c>
      <c r="BK58" s="1086"/>
      <c r="BL58" s="1086"/>
      <c r="BM58" s="1086"/>
      <c r="BN58" s="1086"/>
      <c r="BO58" s="1086"/>
      <c r="BP58" s="1086"/>
      <c r="BQ58" s="1086"/>
      <c r="BR58" s="1086"/>
      <c r="BS58" s="1086"/>
      <c r="BT58" s="1086"/>
      <c r="BU58" s="1086"/>
      <c r="BV58" s="1086"/>
      <c r="BW58" s="786"/>
      <c r="BX58" s="787"/>
      <c r="BY58" s="787"/>
      <c r="BZ58" s="1087">
        <f t="shared" si="2"/>
        <v>0</v>
      </c>
      <c r="CA58" s="1088"/>
      <c r="CB58" s="1088"/>
      <c r="CC58" s="1088"/>
      <c r="CD58" s="1088"/>
      <c r="CE58" s="1088"/>
      <c r="CF58" s="1088"/>
      <c r="CG58" s="1088"/>
      <c r="CH58" s="1088"/>
      <c r="CI58" s="1088"/>
      <c r="CJ58" s="1088"/>
      <c r="CK58" s="1088"/>
      <c r="CL58" s="1088"/>
      <c r="CM58" s="784"/>
      <c r="CN58" s="785"/>
      <c r="CO58" s="1089"/>
      <c r="CP58" s="1090"/>
      <c r="CQ58" s="1090"/>
      <c r="CR58" s="1090"/>
      <c r="CS58" s="1090"/>
      <c r="CT58" s="1090"/>
      <c r="CU58" s="1090"/>
      <c r="CV58" s="1090"/>
      <c r="CW58" s="1090"/>
      <c r="CX58" s="1090"/>
      <c r="CY58" s="1090"/>
      <c r="CZ58" s="1090"/>
      <c r="DA58" s="1090"/>
      <c r="DB58" s="1090"/>
      <c r="DC58" s="1090"/>
      <c r="DD58" s="1090"/>
      <c r="DE58" s="1090"/>
      <c r="DF58" s="1090"/>
      <c r="DG58" s="1090"/>
      <c r="DH58" s="1090"/>
      <c r="DJ58" s="772"/>
    </row>
    <row r="59" spans="3:196" ht="18.75" customHeight="1" thickBot="1" x14ac:dyDescent="0.35">
      <c r="C59" s="772"/>
      <c r="D59" s="783">
        <v>30</v>
      </c>
      <c r="E59" s="1091" t="str">
        <f ca="1">' '!A211&amp;" ["&amp;Logo!D13&amp;"]"</f>
        <v>TOTAL ressources externes [CHF]</v>
      </c>
      <c r="F59" s="1092"/>
      <c r="G59" s="1092"/>
      <c r="H59" s="1092"/>
      <c r="I59" s="1092"/>
      <c r="J59" s="1092"/>
      <c r="K59" s="1092"/>
      <c r="L59" s="1092"/>
      <c r="M59" s="1092"/>
      <c r="N59" s="1092"/>
      <c r="O59" s="1092"/>
      <c r="P59" s="1092"/>
      <c r="Q59" s="1092"/>
      <c r="R59" s="1092"/>
      <c r="S59" s="1092"/>
      <c r="T59" s="1092"/>
      <c r="U59" s="1092"/>
      <c r="V59" s="1092"/>
      <c r="W59" s="1092"/>
      <c r="X59" s="1092"/>
      <c r="Y59" s="1092"/>
      <c r="Z59" s="1092"/>
      <c r="AA59" s="1092"/>
      <c r="AB59" s="1092"/>
      <c r="AC59" s="1092"/>
      <c r="AD59" s="1092"/>
      <c r="AE59" s="1092"/>
      <c r="AF59" s="1092"/>
      <c r="AG59" s="1092"/>
      <c r="AH59" s="1092"/>
      <c r="AI59" s="1092"/>
      <c r="AJ59" s="1092"/>
      <c r="AK59" s="1092"/>
      <c r="AL59" s="1092"/>
      <c r="AM59" s="1092"/>
      <c r="AN59" s="1092"/>
      <c r="AO59" s="1092"/>
      <c r="AP59" s="1092"/>
      <c r="AQ59" s="788"/>
      <c r="AR59" s="789"/>
      <c r="AS59" s="789"/>
      <c r="AT59" s="1093">
        <f>SUM(AT30:BF58)</f>
        <v>0</v>
      </c>
      <c r="AU59" s="1094"/>
      <c r="AV59" s="1094"/>
      <c r="AW59" s="1094"/>
      <c r="AX59" s="1094"/>
      <c r="AY59" s="1094"/>
      <c r="AZ59" s="1094"/>
      <c r="BA59" s="1094"/>
      <c r="BB59" s="1094"/>
      <c r="BC59" s="1094"/>
      <c r="BD59" s="1094"/>
      <c r="BE59" s="1094"/>
      <c r="BF59" s="1094"/>
      <c r="BG59" s="790"/>
      <c r="BH59" s="791"/>
      <c r="BI59" s="791"/>
      <c r="BJ59" s="1093">
        <f>SUM(BJ30:BV58)</f>
        <v>0</v>
      </c>
      <c r="BK59" s="1094"/>
      <c r="BL59" s="1094"/>
      <c r="BM59" s="1094"/>
      <c r="BN59" s="1094"/>
      <c r="BO59" s="1094"/>
      <c r="BP59" s="1094"/>
      <c r="BQ59" s="1094"/>
      <c r="BR59" s="1094"/>
      <c r="BS59" s="1094"/>
      <c r="BT59" s="1094"/>
      <c r="BU59" s="1094"/>
      <c r="BV59" s="1094"/>
      <c r="BW59" s="790"/>
      <c r="BX59" s="791"/>
      <c r="BY59" s="791"/>
      <c r="BZ59" s="1093">
        <f t="shared" si="1"/>
        <v>0</v>
      </c>
      <c r="CA59" s="1094"/>
      <c r="CB59" s="1094"/>
      <c r="CC59" s="1094"/>
      <c r="CD59" s="1094"/>
      <c r="CE59" s="1094"/>
      <c r="CF59" s="1094"/>
      <c r="CG59" s="1094"/>
      <c r="CH59" s="1094"/>
      <c r="CI59" s="1094"/>
      <c r="CJ59" s="1094"/>
      <c r="CK59" s="1094"/>
      <c r="CL59" s="1094"/>
      <c r="CM59" s="788"/>
      <c r="CN59" s="789"/>
      <c r="CO59" s="1095">
        <f>IF(AT59&lt;&gt;0,BJ59/AT59,0)</f>
        <v>0</v>
      </c>
      <c r="CP59" s="1096"/>
      <c r="CQ59" s="1096"/>
      <c r="CR59" s="1096"/>
      <c r="CS59" s="1096"/>
      <c r="CT59" s="1096"/>
      <c r="CU59" s="1096"/>
      <c r="CV59" s="1096"/>
      <c r="CW59" s="1096"/>
      <c r="CX59" s="1096"/>
      <c r="CY59" s="1096"/>
      <c r="CZ59" s="1096"/>
      <c r="DA59" s="1096"/>
      <c r="DB59" s="1096"/>
      <c r="DC59" s="1096"/>
      <c r="DD59" s="1096"/>
      <c r="DE59" s="1096"/>
      <c r="DF59" s="1096"/>
      <c r="DG59" s="1096"/>
      <c r="DH59" s="1096"/>
      <c r="DJ59" s="772"/>
    </row>
    <row r="60" spans="3:196" ht="9.75" customHeight="1" thickTop="1" x14ac:dyDescent="0.3">
      <c r="C60" s="772"/>
      <c r="D60" s="775"/>
      <c r="E60" s="1108"/>
      <c r="F60" s="1108"/>
      <c r="G60" s="1108"/>
      <c r="H60" s="1108"/>
      <c r="I60" s="1108"/>
      <c r="J60" s="1108"/>
      <c r="K60" s="1108"/>
      <c r="L60" s="1108"/>
      <c r="M60" s="1108"/>
      <c r="N60" s="1108"/>
      <c r="O60" s="1108"/>
      <c r="P60" s="1108"/>
      <c r="Q60" s="1108"/>
      <c r="R60" s="1108"/>
      <c r="S60" s="1108"/>
      <c r="T60" s="1108"/>
      <c r="U60" s="1108"/>
      <c r="V60" s="1108"/>
      <c r="W60" s="1108"/>
      <c r="X60" s="1108"/>
      <c r="Y60" s="1108"/>
      <c r="Z60" s="1108"/>
      <c r="AA60" s="1108"/>
      <c r="AB60" s="1108"/>
      <c r="AC60" s="1108"/>
      <c r="AD60" s="1108"/>
      <c r="AE60" s="1108"/>
      <c r="AF60" s="1108"/>
      <c r="AG60" s="1108"/>
      <c r="AH60" s="1108"/>
      <c r="AI60" s="1108"/>
      <c r="AJ60" s="1108"/>
      <c r="AK60" s="1108"/>
      <c r="AL60" s="1108"/>
      <c r="AM60" s="1108"/>
      <c r="AN60" s="1108"/>
      <c r="AO60" s="1108"/>
      <c r="AP60" s="1108"/>
      <c r="AQ60" s="784"/>
      <c r="AR60" s="785"/>
      <c r="AS60" s="785"/>
      <c r="AT60" s="1104"/>
      <c r="AU60" s="1104"/>
      <c r="AV60" s="1104"/>
      <c r="AW60" s="1104"/>
      <c r="AX60" s="1104"/>
      <c r="AY60" s="1104"/>
      <c r="AZ60" s="1104"/>
      <c r="BA60" s="1104"/>
      <c r="BB60" s="1104"/>
      <c r="BC60" s="1104"/>
      <c r="BD60" s="1104"/>
      <c r="BE60" s="1104"/>
      <c r="BF60" s="1104"/>
      <c r="BG60" s="784"/>
      <c r="BH60" s="785"/>
      <c r="BI60" s="785"/>
      <c r="BJ60" s="1104"/>
      <c r="BK60" s="1104"/>
      <c r="BL60" s="1104"/>
      <c r="BM60" s="1104"/>
      <c r="BN60" s="1104"/>
      <c r="BO60" s="1104"/>
      <c r="BP60" s="1104"/>
      <c r="BQ60" s="1104"/>
      <c r="BR60" s="1104"/>
      <c r="BS60" s="1104"/>
      <c r="BT60" s="1104"/>
      <c r="BU60" s="1104"/>
      <c r="BV60" s="1104"/>
      <c r="BW60" s="784"/>
      <c r="BX60" s="785"/>
      <c r="BY60" s="785"/>
      <c r="BZ60" s="1104"/>
      <c r="CA60" s="1104"/>
      <c r="CB60" s="1104"/>
      <c r="CC60" s="1104"/>
      <c r="CD60" s="1104"/>
      <c r="CE60" s="1104"/>
      <c r="CF60" s="1104"/>
      <c r="CG60" s="1104"/>
      <c r="CH60" s="1104"/>
      <c r="CI60" s="1104"/>
      <c r="CJ60" s="1104"/>
      <c r="CK60" s="1104"/>
      <c r="CL60" s="1104"/>
      <c r="CM60" s="784"/>
      <c r="CN60" s="785"/>
      <c r="CO60" s="1102"/>
      <c r="CP60" s="1102"/>
      <c r="CQ60" s="1102"/>
      <c r="CR60" s="1102"/>
      <c r="CS60" s="1102"/>
      <c r="CT60" s="1102"/>
      <c r="CU60" s="1102"/>
      <c r="CV60" s="1102"/>
      <c r="CW60" s="1102"/>
      <c r="CX60" s="1102"/>
      <c r="CY60" s="1102"/>
      <c r="CZ60" s="1102"/>
      <c r="DA60" s="1102"/>
      <c r="DB60" s="1102"/>
      <c r="DC60" s="1102"/>
      <c r="DD60" s="1102"/>
      <c r="DE60" s="1102"/>
      <c r="DF60" s="1102"/>
      <c r="DG60" s="1102"/>
      <c r="DH60" s="1102"/>
      <c r="DJ60" s="772"/>
    </row>
    <row r="61" spans="3:196" ht="24" customHeight="1" thickBot="1" x14ac:dyDescent="0.35">
      <c r="C61" s="772"/>
      <c r="D61" s="783">
        <v>23</v>
      </c>
      <c r="E61" s="1106" t="str">
        <f ca="1">' '!A216</f>
        <v>TOTAL RESSOURCES</v>
      </c>
      <c r="F61" s="1106"/>
      <c r="G61" s="1106"/>
      <c r="H61" s="1106"/>
      <c r="I61" s="1106"/>
      <c r="J61" s="1106"/>
      <c r="K61" s="1106"/>
      <c r="L61" s="1106"/>
      <c r="M61" s="1106"/>
      <c r="N61" s="1106"/>
      <c r="O61" s="1106"/>
      <c r="P61" s="1106"/>
      <c r="Q61" s="1106"/>
      <c r="R61" s="1106"/>
      <c r="S61" s="1106"/>
      <c r="T61" s="1106"/>
      <c r="U61" s="1106"/>
      <c r="V61" s="1106"/>
      <c r="W61" s="1106"/>
      <c r="X61" s="1106"/>
      <c r="Y61" s="1106"/>
      <c r="Z61" s="1106"/>
      <c r="AA61" s="1106"/>
      <c r="AB61" s="1106"/>
      <c r="AC61" s="1106"/>
      <c r="AD61" s="1106"/>
      <c r="AE61" s="1106"/>
      <c r="AF61" s="1106"/>
      <c r="AG61" s="1106"/>
      <c r="AH61" s="1106"/>
      <c r="AI61" s="1106"/>
      <c r="AJ61" s="1106"/>
      <c r="AK61" s="1106"/>
      <c r="AL61" s="1106"/>
      <c r="AM61" s="1106"/>
      <c r="AN61" s="1106"/>
      <c r="AO61" s="1106"/>
      <c r="AP61" s="1106"/>
      <c r="AQ61" s="797"/>
      <c r="AR61" s="798"/>
      <c r="AS61" s="798"/>
      <c r="AT61" s="1105">
        <f>IF(Projektteam!$BM$3=TRUE,AT59+AT24,AT59)</f>
        <v>640</v>
      </c>
      <c r="AU61" s="1105"/>
      <c r="AV61" s="1105"/>
      <c r="AW61" s="1105"/>
      <c r="AX61" s="1105"/>
      <c r="AY61" s="1105"/>
      <c r="AZ61" s="1105"/>
      <c r="BA61" s="1105"/>
      <c r="BB61" s="1105"/>
      <c r="BC61" s="1105"/>
      <c r="BD61" s="1105"/>
      <c r="BE61" s="1105"/>
      <c r="BF61" s="1105"/>
      <c r="BG61" s="799"/>
      <c r="BH61" s="800"/>
      <c r="BI61" s="800"/>
      <c r="BJ61" s="1105">
        <f>IF(Projektteam!$BM$3=TRUE,BJ59+BJ24,BJ59)</f>
        <v>0</v>
      </c>
      <c r="BK61" s="1105"/>
      <c r="BL61" s="1105"/>
      <c r="BM61" s="1105"/>
      <c r="BN61" s="1105"/>
      <c r="BO61" s="1105"/>
      <c r="BP61" s="1105"/>
      <c r="BQ61" s="1105"/>
      <c r="BR61" s="1105"/>
      <c r="BS61" s="1105"/>
      <c r="BT61" s="1105"/>
      <c r="BU61" s="1105"/>
      <c r="BV61" s="1105"/>
      <c r="BW61" s="799"/>
      <c r="BX61" s="800"/>
      <c r="BY61" s="800"/>
      <c r="BZ61" s="1105">
        <f>IF(Projektteam!$BM$3=TRUE,AT61-BJ61,BZ59)</f>
        <v>640</v>
      </c>
      <c r="CA61" s="1105"/>
      <c r="CB61" s="1105"/>
      <c r="CC61" s="1105"/>
      <c r="CD61" s="1105"/>
      <c r="CE61" s="1105"/>
      <c r="CF61" s="1105"/>
      <c r="CG61" s="1105"/>
      <c r="CH61" s="1105"/>
      <c r="CI61" s="1105"/>
      <c r="CJ61" s="1105"/>
      <c r="CK61" s="1105"/>
      <c r="CL61" s="1105"/>
      <c r="CM61" s="797"/>
      <c r="CN61" s="789"/>
      <c r="CO61" s="1095">
        <f>IF(Projektteam!$BM$3=TRUE,
IF(AT61&lt;&gt;0,BJ61/AT61),CO59)</f>
        <v>0</v>
      </c>
      <c r="CP61" s="1096"/>
      <c r="CQ61" s="1096"/>
      <c r="CR61" s="1096"/>
      <c r="CS61" s="1096"/>
      <c r="CT61" s="1096"/>
      <c r="CU61" s="1096"/>
      <c r="CV61" s="1096"/>
      <c r="CW61" s="1096"/>
      <c r="CX61" s="1096"/>
      <c r="CY61" s="1096"/>
      <c r="CZ61" s="1096"/>
      <c r="DA61" s="1096"/>
      <c r="DB61" s="1096"/>
      <c r="DC61" s="1096"/>
      <c r="DD61" s="1096"/>
      <c r="DE61" s="1096"/>
      <c r="DF61" s="1096"/>
      <c r="DG61" s="1096"/>
      <c r="DH61" s="1096"/>
      <c r="DJ61" s="772"/>
    </row>
    <row r="62" spans="3:196" ht="14.4" thickTop="1" x14ac:dyDescent="0.3">
      <c r="C62" s="792"/>
      <c r="D62" s="793"/>
      <c r="E62" s="793"/>
      <c r="F62" s="793"/>
      <c r="G62" s="793"/>
      <c r="H62" s="793"/>
      <c r="I62" s="793"/>
      <c r="J62" s="793"/>
      <c r="K62" s="793"/>
      <c r="L62" s="793"/>
      <c r="M62" s="793"/>
      <c r="N62" s="793"/>
      <c r="O62" s="793"/>
      <c r="P62" s="793"/>
      <c r="Q62" s="793"/>
      <c r="R62" s="793"/>
      <c r="S62" s="793"/>
      <c r="T62" s="793"/>
      <c r="U62" s="793"/>
      <c r="V62" s="793"/>
      <c r="W62" s="793"/>
      <c r="X62" s="793"/>
      <c r="Y62" s="793"/>
      <c r="Z62" s="793"/>
      <c r="AA62" s="793"/>
      <c r="AB62" s="793"/>
      <c r="AC62" s="793"/>
      <c r="AD62" s="793"/>
      <c r="AE62" s="793"/>
      <c r="AF62" s="793"/>
      <c r="AG62" s="793"/>
      <c r="AH62" s="793"/>
      <c r="AI62" s="793"/>
      <c r="AJ62" s="793"/>
      <c r="AK62" s="793"/>
      <c r="AL62" s="793"/>
      <c r="AM62" s="793"/>
      <c r="AN62" s="793"/>
      <c r="AO62" s="793"/>
      <c r="AP62" s="793"/>
      <c r="AQ62" s="793"/>
      <c r="AR62" s="793"/>
      <c r="AS62" s="793"/>
      <c r="AT62" s="793"/>
      <c r="AU62" s="793"/>
      <c r="AV62" s="793"/>
      <c r="AW62" s="793"/>
      <c r="AX62" s="793"/>
      <c r="AY62" s="793"/>
      <c r="AZ62" s="793"/>
      <c r="BA62" s="793"/>
      <c r="BB62" s="793"/>
      <c r="BC62" s="793"/>
      <c r="BD62" s="793"/>
      <c r="BE62" s="793"/>
      <c r="BF62" s="793"/>
      <c r="BG62" s="793"/>
      <c r="BH62" s="793"/>
      <c r="BI62" s="793"/>
      <c r="BJ62" s="793"/>
      <c r="BK62" s="793"/>
      <c r="BL62" s="793"/>
      <c r="BM62" s="793"/>
      <c r="BN62" s="793"/>
      <c r="BO62" s="793"/>
      <c r="BP62" s="793"/>
      <c r="BQ62" s="793"/>
      <c r="BR62" s="793"/>
      <c r="BS62" s="793"/>
      <c r="BT62" s="793"/>
      <c r="BU62" s="793"/>
      <c r="BV62" s="793"/>
      <c r="BW62" s="793"/>
      <c r="BX62" s="793"/>
      <c r="BY62" s="793"/>
      <c r="BZ62" s="793"/>
      <c r="CA62" s="793"/>
      <c r="CB62" s="793"/>
      <c r="CC62" s="793"/>
      <c r="CD62" s="793"/>
      <c r="CE62" s="793"/>
      <c r="CF62" s="793"/>
      <c r="CG62" s="793"/>
      <c r="CH62" s="793"/>
      <c r="CI62" s="793"/>
      <c r="CJ62" s="793"/>
      <c r="CK62" s="793"/>
      <c r="CL62" s="793"/>
      <c r="CM62" s="793"/>
      <c r="CN62" s="793"/>
      <c r="CO62" s="793"/>
      <c r="CP62" s="793"/>
      <c r="CQ62" s="793"/>
      <c r="CR62" s="793"/>
      <c r="CS62" s="793"/>
      <c r="CT62" s="793"/>
      <c r="CU62" s="793"/>
      <c r="CV62" s="793"/>
      <c r="CW62" s="793"/>
      <c r="CX62" s="793"/>
      <c r="CY62" s="793"/>
      <c r="CZ62" s="793"/>
      <c r="DA62" s="793"/>
      <c r="DB62" s="793"/>
      <c r="DC62" s="793"/>
      <c r="DD62" s="793"/>
      <c r="DE62" s="793"/>
      <c r="DF62" s="793"/>
      <c r="DG62" s="793"/>
      <c r="DH62" s="793"/>
      <c r="DI62" s="793"/>
      <c r="DJ62" s="772"/>
    </row>
    <row r="63" spans="3:196" x14ac:dyDescent="0.3">
      <c r="C63" s="775"/>
      <c r="D63" s="775"/>
      <c r="E63" s="775"/>
      <c r="F63" s="775"/>
      <c r="G63" s="775"/>
      <c r="H63" s="775"/>
      <c r="I63" s="775"/>
      <c r="J63" s="775"/>
      <c r="K63" s="775"/>
      <c r="L63" s="775"/>
      <c r="M63" s="775"/>
      <c r="N63" s="775"/>
      <c r="O63" s="775"/>
      <c r="P63" s="775"/>
      <c r="Q63" s="775"/>
      <c r="R63" s="775"/>
      <c r="S63" s="775"/>
      <c r="T63" s="775"/>
      <c r="U63" s="775"/>
      <c r="V63" s="775"/>
      <c r="W63" s="775"/>
      <c r="X63" s="775"/>
      <c r="Y63" s="775"/>
      <c r="Z63" s="775"/>
      <c r="AA63" s="775"/>
      <c r="AB63" s="775"/>
      <c r="AC63" s="775"/>
      <c r="AD63" s="775"/>
      <c r="AE63" s="775"/>
      <c r="AF63" s="775"/>
      <c r="AG63" s="775"/>
      <c r="AH63" s="775"/>
      <c r="AI63" s="775"/>
      <c r="AJ63" s="775"/>
      <c r="AK63" s="775"/>
      <c r="AL63" s="775"/>
      <c r="AM63" s="775"/>
      <c r="AN63" s="775"/>
      <c r="AO63" s="775"/>
      <c r="AP63" s="775"/>
      <c r="AQ63" s="775"/>
      <c r="AR63" s="775"/>
      <c r="AS63" s="775"/>
      <c r="AT63" s="775"/>
      <c r="AU63" s="775"/>
      <c r="AV63" s="775"/>
      <c r="AW63" s="775"/>
      <c r="AX63" s="775"/>
      <c r="AY63" s="775"/>
      <c r="AZ63" s="775"/>
      <c r="BA63" s="775"/>
      <c r="BB63" s="775"/>
      <c r="BC63" s="775"/>
      <c r="BD63" s="775"/>
      <c r="BE63" s="775"/>
      <c r="BF63" s="775"/>
      <c r="BG63" s="775"/>
      <c r="BH63" s="775"/>
      <c r="BI63" s="775"/>
      <c r="BJ63" s="775"/>
      <c r="BK63" s="775"/>
      <c r="BL63" s="775"/>
      <c r="BM63" s="775"/>
      <c r="BN63" s="775"/>
      <c r="BO63" s="775"/>
      <c r="BP63" s="775"/>
      <c r="BQ63" s="775"/>
      <c r="BR63" s="775"/>
      <c r="BS63" s="775"/>
      <c r="BT63" s="775"/>
      <c r="BU63" s="775"/>
      <c r="BV63" s="775"/>
      <c r="BW63" s="775"/>
      <c r="BX63" s="775"/>
      <c r="BY63" s="775"/>
      <c r="BZ63" s="775"/>
      <c r="CA63" s="775"/>
      <c r="CB63" s="775"/>
      <c r="CC63" s="775"/>
      <c r="CD63" s="775"/>
      <c r="CE63" s="775"/>
      <c r="CF63" s="775"/>
      <c r="CG63" s="775"/>
      <c r="CH63" s="775"/>
      <c r="CI63" s="775"/>
      <c r="CJ63" s="775"/>
      <c r="CK63" s="775"/>
      <c r="CL63" s="775"/>
      <c r="CM63" s="775"/>
      <c r="CN63" s="775"/>
      <c r="CO63" s="775"/>
      <c r="CP63" s="775"/>
      <c r="CQ63" s="775"/>
      <c r="CR63" s="775"/>
      <c r="CS63" s="775"/>
      <c r="CT63" s="775"/>
      <c r="CU63" s="775"/>
      <c r="CV63" s="775"/>
      <c r="CW63" s="775"/>
      <c r="CX63" s="775"/>
      <c r="CY63" s="775"/>
      <c r="CZ63" s="775"/>
      <c r="DA63" s="775"/>
      <c r="DB63" s="775"/>
      <c r="DC63" s="775"/>
      <c r="DD63" s="775"/>
      <c r="DE63" s="775"/>
      <c r="DF63" s="775"/>
      <c r="DG63" s="775"/>
      <c r="DH63" s="775"/>
      <c r="DI63" s="775"/>
      <c r="DJ63" s="775"/>
    </row>
    <row r="64" spans="3:196" s="773" customFormat="1" ht="11.25" customHeight="1" x14ac:dyDescent="0.3">
      <c r="C64" s="796"/>
      <c r="D64" s="771"/>
      <c r="E64" s="771"/>
      <c r="F64" s="771"/>
      <c r="G64" s="771"/>
      <c r="H64" s="771"/>
      <c r="I64" s="771"/>
      <c r="J64" s="771"/>
      <c r="K64" s="771"/>
      <c r="L64" s="771"/>
      <c r="M64" s="771"/>
      <c r="N64" s="771"/>
      <c r="O64" s="771"/>
      <c r="P64" s="771"/>
      <c r="Q64" s="771"/>
      <c r="R64" s="771"/>
      <c r="S64" s="771"/>
      <c r="T64" s="771"/>
      <c r="U64" s="771"/>
      <c r="V64" s="771"/>
      <c r="W64" s="771"/>
      <c r="X64" s="771"/>
      <c r="Y64" s="771"/>
      <c r="Z64" s="771"/>
      <c r="AA64" s="771"/>
      <c r="AB64" s="771"/>
      <c r="AC64" s="771"/>
      <c r="AD64" s="771"/>
      <c r="AE64" s="771"/>
      <c r="AF64" s="771"/>
      <c r="AG64" s="771"/>
      <c r="AH64" s="771"/>
      <c r="AI64" s="771"/>
      <c r="AJ64" s="771"/>
      <c r="AK64" s="771"/>
      <c r="AL64" s="771"/>
      <c r="AM64" s="771"/>
      <c r="AN64" s="771"/>
      <c r="AO64" s="771"/>
      <c r="AP64" s="771"/>
      <c r="AQ64" s="771"/>
      <c r="AR64" s="771"/>
      <c r="AS64" s="771"/>
      <c r="AT64" s="771"/>
      <c r="AU64" s="771"/>
      <c r="AV64" s="771"/>
      <c r="AW64" s="771"/>
      <c r="AX64" s="771"/>
      <c r="AY64" s="771"/>
      <c r="AZ64" s="771"/>
      <c r="BA64" s="771"/>
      <c r="BB64" s="771"/>
      <c r="BC64" s="771"/>
      <c r="BD64" s="771"/>
      <c r="BE64" s="771"/>
      <c r="BF64" s="771"/>
      <c r="BG64" s="771"/>
      <c r="BH64" s="771"/>
      <c r="BI64" s="771"/>
      <c r="BJ64" s="771"/>
      <c r="BK64" s="771"/>
      <c r="BL64" s="771"/>
      <c r="BM64" s="771"/>
      <c r="BN64" s="771"/>
      <c r="BO64" s="771"/>
      <c r="BP64" s="771"/>
      <c r="BQ64" s="771"/>
      <c r="BR64" s="771"/>
      <c r="BS64" s="771"/>
      <c r="BT64" s="771"/>
      <c r="BU64" s="771"/>
      <c r="BV64" s="771"/>
      <c r="BW64" s="771"/>
      <c r="BX64" s="771"/>
      <c r="BY64" s="771"/>
      <c r="BZ64" s="771"/>
      <c r="CA64" s="771"/>
      <c r="CB64" s="771"/>
      <c r="CC64" s="771"/>
      <c r="CD64" s="771"/>
      <c r="CE64" s="771"/>
      <c r="CF64" s="771"/>
      <c r="CG64" s="771"/>
      <c r="CH64" s="771"/>
      <c r="CI64" s="771"/>
      <c r="CJ64" s="771"/>
      <c r="CK64" s="771"/>
      <c r="CL64" s="771"/>
      <c r="CM64" s="771"/>
      <c r="CN64" s="771"/>
      <c r="CO64" s="771"/>
      <c r="CP64" s="771"/>
      <c r="CQ64" s="771"/>
      <c r="CR64" s="771"/>
      <c r="CS64" s="771"/>
      <c r="CT64" s="771"/>
      <c r="CU64" s="771"/>
      <c r="CV64" s="771"/>
      <c r="CW64" s="771"/>
      <c r="CX64" s="771"/>
      <c r="CY64" s="771"/>
      <c r="CZ64" s="771"/>
      <c r="DA64" s="771"/>
      <c r="DB64" s="771"/>
      <c r="DC64" s="771"/>
      <c r="DD64" s="771"/>
      <c r="DE64" s="771"/>
      <c r="DF64" s="771"/>
      <c r="DG64" s="771"/>
      <c r="DH64" s="771"/>
      <c r="DI64" s="771"/>
      <c r="DJ64" s="772"/>
      <c r="DK64" s="766"/>
      <c r="DL64" s="766"/>
      <c r="DM64" s="766"/>
      <c r="DN64" s="766"/>
      <c r="DO64" s="766"/>
      <c r="DP64" s="766"/>
      <c r="DQ64" s="766"/>
      <c r="DR64" s="766"/>
      <c r="DS64" s="766"/>
      <c r="DT64" s="766"/>
      <c r="DU64" s="766"/>
      <c r="DV64" s="766"/>
      <c r="DW64" s="766"/>
      <c r="DX64" s="766"/>
      <c r="DY64" s="766"/>
      <c r="DZ64" s="766"/>
      <c r="EA64" s="766"/>
      <c r="EB64" s="766"/>
      <c r="EC64" s="766"/>
      <c r="ED64" s="766"/>
      <c r="EE64" s="766"/>
      <c r="EF64" s="766"/>
      <c r="EG64" s="766"/>
      <c r="EH64" s="766"/>
      <c r="EI64" s="766"/>
      <c r="EJ64" s="766"/>
      <c r="EK64" s="766"/>
      <c r="EL64" s="766"/>
      <c r="EM64" s="766"/>
      <c r="EN64" s="766"/>
      <c r="EO64" s="766"/>
      <c r="EP64" s="766"/>
      <c r="EQ64" s="766"/>
      <c r="ER64" s="766"/>
      <c r="ES64" s="766"/>
      <c r="ET64" s="766"/>
      <c r="EU64" s="766"/>
      <c r="EV64" s="766"/>
      <c r="EW64" s="766"/>
      <c r="EX64" s="766"/>
      <c r="EY64" s="766"/>
      <c r="EZ64" s="766"/>
      <c r="FA64" s="766"/>
      <c r="FB64" s="766"/>
      <c r="FC64" s="766"/>
      <c r="FD64" s="766"/>
      <c r="FE64" s="766"/>
      <c r="FF64" s="766"/>
      <c r="FG64" s="766"/>
      <c r="FH64" s="766"/>
      <c r="FI64" s="766"/>
      <c r="FJ64" s="766"/>
      <c r="FK64" s="766"/>
      <c r="FL64" s="766"/>
      <c r="FM64" s="766"/>
      <c r="FN64" s="766"/>
      <c r="FO64" s="766"/>
      <c r="FP64" s="766"/>
      <c r="FQ64" s="766"/>
      <c r="FR64" s="766"/>
      <c r="FS64" s="766"/>
      <c r="FT64" s="766"/>
      <c r="FU64" s="766"/>
      <c r="FV64" s="766"/>
      <c r="FW64" s="766"/>
      <c r="FX64" s="766"/>
      <c r="FY64" s="766"/>
      <c r="FZ64" s="766"/>
      <c r="GA64" s="766"/>
      <c r="GB64" s="766"/>
      <c r="GC64" s="766"/>
      <c r="GD64" s="766"/>
      <c r="GE64" s="766"/>
      <c r="GF64" s="766"/>
      <c r="GG64" s="766"/>
      <c r="GH64" s="766"/>
      <c r="GI64" s="766"/>
      <c r="GJ64" s="766"/>
      <c r="GK64" s="766"/>
      <c r="GL64" s="766"/>
      <c r="GM64" s="766"/>
      <c r="GN64" s="766"/>
    </row>
    <row r="65" spans="3:114" ht="24.75" customHeight="1" x14ac:dyDescent="0.3">
      <c r="C65" s="772"/>
      <c r="D65" s="775"/>
      <c r="E65" s="1097" t="str">
        <f ca="1">' '!A209</f>
        <v xml:space="preserve">Financement externe </v>
      </c>
      <c r="F65" s="1097"/>
      <c r="G65" s="1097"/>
      <c r="H65" s="1097"/>
      <c r="I65" s="1097"/>
      <c r="J65" s="1097"/>
      <c r="K65" s="1097"/>
      <c r="L65" s="1097"/>
      <c r="M65" s="1097"/>
      <c r="N65" s="1097"/>
      <c r="O65" s="1097"/>
      <c r="P65" s="1097"/>
      <c r="Q65" s="1097"/>
      <c r="R65" s="1097"/>
      <c r="S65" s="1097"/>
      <c r="T65" s="1097"/>
      <c r="U65" s="1097"/>
      <c r="V65" s="1097"/>
      <c r="W65" s="1097"/>
      <c r="X65" s="1097"/>
      <c r="Y65" s="1097"/>
      <c r="Z65" s="1097"/>
      <c r="AA65" s="1097"/>
      <c r="AB65" s="1097"/>
      <c r="AC65" s="1097"/>
      <c r="AD65" s="1097"/>
      <c r="AE65" s="1097"/>
      <c r="AF65" s="1097"/>
      <c r="AG65" s="1097"/>
      <c r="AH65" s="1097"/>
      <c r="AI65" s="1097"/>
      <c r="AJ65" s="1097"/>
      <c r="AK65" s="1097"/>
      <c r="AL65" s="1097"/>
      <c r="AM65" s="1097"/>
      <c r="AN65" s="1097"/>
      <c r="AO65" s="1097"/>
      <c r="AP65" s="1097"/>
      <c r="AQ65" s="776"/>
      <c r="AR65" s="777"/>
      <c r="AS65" s="777"/>
      <c r="AT65" s="1098" t="str">
        <f ca="1">AT28</f>
        <v>Plan [CHF]</v>
      </c>
      <c r="AU65" s="1098"/>
      <c r="AV65" s="1098"/>
      <c r="AW65" s="1098"/>
      <c r="AX65" s="1098"/>
      <c r="AY65" s="1098"/>
      <c r="AZ65" s="1098"/>
      <c r="BA65" s="1098"/>
      <c r="BB65" s="1098"/>
      <c r="BC65" s="1098"/>
      <c r="BD65" s="1098"/>
      <c r="BE65" s="1098"/>
      <c r="BF65" s="1098"/>
      <c r="BG65" s="778"/>
      <c r="BH65" s="779"/>
      <c r="BI65" s="779"/>
      <c r="BJ65" s="1098" t="str">
        <f ca="1">BJ28</f>
        <v>Réel [CHF]</v>
      </c>
      <c r="BK65" s="1098"/>
      <c r="BL65" s="1098"/>
      <c r="BM65" s="1098"/>
      <c r="BN65" s="1098"/>
      <c r="BO65" s="1098"/>
      <c r="BP65" s="1098"/>
      <c r="BQ65" s="1098"/>
      <c r="BR65" s="1098"/>
      <c r="BS65" s="1098"/>
      <c r="BT65" s="1098"/>
      <c r="BU65" s="1098"/>
      <c r="BV65" s="1098"/>
      <c r="BW65" s="778"/>
      <c r="BX65" s="779"/>
      <c r="BY65" s="779"/>
      <c r="BZ65" s="1098" t="str">
        <f ca="1">BZ28</f>
        <v>Solde [CHF]</v>
      </c>
      <c r="CA65" s="1098"/>
      <c r="CB65" s="1098"/>
      <c r="CC65" s="1098"/>
      <c r="CD65" s="1098"/>
      <c r="CE65" s="1098"/>
      <c r="CF65" s="1098"/>
      <c r="CG65" s="1098"/>
      <c r="CH65" s="1098"/>
      <c r="CI65" s="1098"/>
      <c r="CJ65" s="1098"/>
      <c r="CK65" s="1098"/>
      <c r="CL65" s="1098"/>
      <c r="CM65" s="780"/>
      <c r="CN65" s="781"/>
      <c r="CO65" s="1099" t="str">
        <f ca="1">CO28</f>
        <v>Remarques</v>
      </c>
      <c r="CP65" s="1099"/>
      <c r="CQ65" s="1099"/>
      <c r="CR65" s="1099"/>
      <c r="CS65" s="1099"/>
      <c r="CT65" s="1099"/>
      <c r="CU65" s="1099"/>
      <c r="CV65" s="1099"/>
      <c r="CW65" s="1099"/>
      <c r="CX65" s="1099"/>
      <c r="CY65" s="1099"/>
      <c r="CZ65" s="1099"/>
      <c r="DA65" s="1099"/>
      <c r="DB65" s="1099"/>
      <c r="DC65" s="1099"/>
      <c r="DD65" s="1099"/>
      <c r="DE65" s="1099"/>
      <c r="DF65" s="1099"/>
      <c r="DG65" s="1099"/>
      <c r="DH65" s="1099"/>
      <c r="DJ65" s="772"/>
    </row>
    <row r="66" spans="3:114" ht="7.5" customHeight="1" x14ac:dyDescent="0.3">
      <c r="C66" s="772"/>
      <c r="D66" s="775"/>
      <c r="E66" s="782"/>
      <c r="F66" s="782"/>
      <c r="G66" s="782"/>
      <c r="H66" s="782"/>
      <c r="I66" s="782"/>
      <c r="J66" s="782"/>
      <c r="K66" s="782"/>
      <c r="L66" s="782"/>
      <c r="M66" s="782"/>
      <c r="N66" s="782"/>
      <c r="O66" s="782"/>
      <c r="P66" s="782"/>
      <c r="Q66" s="782"/>
      <c r="R66" s="782"/>
      <c r="S66" s="782"/>
      <c r="T66" s="782"/>
      <c r="U66" s="782"/>
      <c r="V66" s="782"/>
      <c r="W66" s="782"/>
      <c r="X66" s="782"/>
      <c r="Y66" s="782"/>
      <c r="Z66" s="782"/>
      <c r="AA66" s="782"/>
      <c r="AB66" s="782"/>
      <c r="AC66" s="782"/>
      <c r="AD66" s="782"/>
      <c r="AE66" s="782"/>
      <c r="AF66" s="782"/>
      <c r="AG66" s="782"/>
      <c r="AH66" s="782"/>
      <c r="AI66" s="782"/>
      <c r="AJ66" s="782"/>
      <c r="AK66" s="782"/>
      <c r="AL66" s="782"/>
      <c r="AM66" s="782"/>
      <c r="AN66" s="782"/>
      <c r="AO66" s="782"/>
      <c r="AP66" s="782"/>
      <c r="AQ66" s="782"/>
      <c r="AR66" s="782"/>
      <c r="AS66" s="782"/>
      <c r="AT66" s="782"/>
      <c r="AU66" s="782"/>
      <c r="AV66" s="782"/>
      <c r="AW66" s="782"/>
      <c r="AX66" s="782"/>
      <c r="AY66" s="782"/>
      <c r="AZ66" s="782"/>
      <c r="BA66" s="782"/>
      <c r="BB66" s="782"/>
      <c r="BC66" s="782"/>
      <c r="BD66" s="782"/>
      <c r="BE66" s="782"/>
      <c r="BF66" s="782"/>
      <c r="BG66" s="782"/>
      <c r="BH66" s="782"/>
      <c r="BI66" s="782"/>
      <c r="BJ66" s="782"/>
      <c r="BK66" s="782"/>
      <c r="BL66" s="782"/>
      <c r="BM66" s="782"/>
      <c r="BN66" s="782"/>
      <c r="BO66" s="782"/>
      <c r="BP66" s="782"/>
      <c r="BQ66" s="782"/>
      <c r="BR66" s="782"/>
      <c r="BS66" s="782"/>
      <c r="BT66" s="782"/>
      <c r="BU66" s="782"/>
      <c r="BV66" s="782"/>
      <c r="BW66" s="782"/>
      <c r="BX66" s="782"/>
      <c r="BY66" s="782"/>
      <c r="BZ66" s="782"/>
      <c r="CA66" s="782"/>
      <c r="CB66" s="782"/>
      <c r="CC66" s="782"/>
      <c r="CD66" s="782"/>
      <c r="CE66" s="782"/>
      <c r="CF66" s="782"/>
      <c r="CG66" s="782"/>
      <c r="CH66" s="782"/>
      <c r="CI66" s="782"/>
      <c r="CJ66" s="782"/>
      <c r="CK66" s="782"/>
      <c r="CL66" s="782"/>
      <c r="CM66" s="782"/>
      <c r="CN66" s="782"/>
      <c r="CO66" s="782"/>
      <c r="CP66" s="782"/>
      <c r="CQ66" s="782"/>
      <c r="CR66" s="782"/>
      <c r="CS66" s="782"/>
      <c r="CT66" s="782"/>
      <c r="CU66" s="782"/>
      <c r="CV66" s="782"/>
      <c r="CW66" s="782"/>
      <c r="CX66" s="782"/>
      <c r="CY66" s="782"/>
      <c r="CZ66" s="782"/>
      <c r="DA66" s="782"/>
      <c r="DB66" s="782"/>
      <c r="DC66" s="782"/>
      <c r="DD66" s="782"/>
      <c r="DE66" s="782"/>
      <c r="DF66" s="782"/>
      <c r="DG66" s="782"/>
      <c r="DH66" s="782"/>
      <c r="DI66" s="763"/>
      <c r="DJ66" s="772"/>
    </row>
    <row r="67" spans="3:114" ht="21" customHeight="1" x14ac:dyDescent="0.3">
      <c r="C67" s="772"/>
      <c r="D67" s="783">
        <v>1</v>
      </c>
      <c r="E67" s="1083"/>
      <c r="F67" s="1084"/>
      <c r="G67" s="1084"/>
      <c r="H67" s="1084"/>
      <c r="I67" s="1084"/>
      <c r="J67" s="1084"/>
      <c r="K67" s="1084"/>
      <c r="L67" s="1084"/>
      <c r="M67" s="1084"/>
      <c r="N67" s="1084"/>
      <c r="O67" s="1084"/>
      <c r="P67" s="1084"/>
      <c r="Q67" s="1084"/>
      <c r="R67" s="1084"/>
      <c r="S67" s="1084"/>
      <c r="T67" s="1084"/>
      <c r="U67" s="1084"/>
      <c r="V67" s="1084"/>
      <c r="W67" s="1084"/>
      <c r="X67" s="1084"/>
      <c r="Y67" s="1084"/>
      <c r="Z67" s="1084"/>
      <c r="AA67" s="1084"/>
      <c r="AB67" s="1084"/>
      <c r="AC67" s="1084"/>
      <c r="AD67" s="1084"/>
      <c r="AE67" s="1084"/>
      <c r="AF67" s="1084"/>
      <c r="AG67" s="1084"/>
      <c r="AH67" s="1084"/>
      <c r="AI67" s="1084"/>
      <c r="AJ67" s="1084"/>
      <c r="AK67" s="1084"/>
      <c r="AL67" s="1084"/>
      <c r="AM67" s="1084"/>
      <c r="AN67" s="1084"/>
      <c r="AO67" s="1084"/>
      <c r="AP67" s="1084"/>
      <c r="AQ67" s="784"/>
      <c r="AR67" s="785"/>
      <c r="AS67" s="785"/>
      <c r="AT67" s="1085">
        <v>0</v>
      </c>
      <c r="AU67" s="1086"/>
      <c r="AV67" s="1086"/>
      <c r="AW67" s="1086"/>
      <c r="AX67" s="1086"/>
      <c r="AY67" s="1086"/>
      <c r="AZ67" s="1086"/>
      <c r="BA67" s="1086"/>
      <c r="BB67" s="1086"/>
      <c r="BC67" s="1086"/>
      <c r="BD67" s="1086"/>
      <c r="BE67" s="1086"/>
      <c r="BF67" s="1086"/>
      <c r="BG67" s="786"/>
      <c r="BH67" s="787"/>
      <c r="BI67" s="787"/>
      <c r="BJ67" s="1085">
        <v>0</v>
      </c>
      <c r="BK67" s="1086"/>
      <c r="BL67" s="1086"/>
      <c r="BM67" s="1086"/>
      <c r="BN67" s="1086"/>
      <c r="BO67" s="1086"/>
      <c r="BP67" s="1086"/>
      <c r="BQ67" s="1086"/>
      <c r="BR67" s="1086"/>
      <c r="BS67" s="1086"/>
      <c r="BT67" s="1086"/>
      <c r="BU67" s="1086"/>
      <c r="BV67" s="1086"/>
      <c r="BW67" s="786"/>
      <c r="BX67" s="787"/>
      <c r="BY67" s="787"/>
      <c r="BZ67" s="1087">
        <f t="shared" ref="BZ67:BZ77" si="3">AT67-BJ67</f>
        <v>0</v>
      </c>
      <c r="CA67" s="1088"/>
      <c r="CB67" s="1088"/>
      <c r="CC67" s="1088"/>
      <c r="CD67" s="1088"/>
      <c r="CE67" s="1088"/>
      <c r="CF67" s="1088"/>
      <c r="CG67" s="1088"/>
      <c r="CH67" s="1088"/>
      <c r="CI67" s="1088"/>
      <c r="CJ67" s="1088"/>
      <c r="CK67" s="1088"/>
      <c r="CL67" s="1088"/>
      <c r="CM67" s="784"/>
      <c r="CN67" s="785"/>
      <c r="CO67" s="1100" t="str">
        <f ca="1">' '!A210</f>
        <v>Financement externe (p.ex. clients, subventions etc.)</v>
      </c>
      <c r="CP67" s="1101"/>
      <c r="CQ67" s="1101"/>
      <c r="CR67" s="1101"/>
      <c r="CS67" s="1101"/>
      <c r="CT67" s="1101"/>
      <c r="CU67" s="1101"/>
      <c r="CV67" s="1101"/>
      <c r="CW67" s="1101"/>
      <c r="CX67" s="1101"/>
      <c r="CY67" s="1101"/>
      <c r="CZ67" s="1101"/>
      <c r="DA67" s="1101"/>
      <c r="DB67" s="1101"/>
      <c r="DC67" s="1101"/>
      <c r="DD67" s="1101"/>
      <c r="DE67" s="1101"/>
      <c r="DF67" s="1101"/>
      <c r="DG67" s="1101"/>
      <c r="DH67" s="1101"/>
      <c r="DJ67" s="772"/>
    </row>
    <row r="68" spans="3:114" ht="18.75" customHeight="1" x14ac:dyDescent="0.3">
      <c r="C68" s="772"/>
      <c r="D68" s="783">
        <v>2</v>
      </c>
      <c r="E68" s="1083"/>
      <c r="F68" s="1084"/>
      <c r="G68" s="1084"/>
      <c r="H68" s="1084"/>
      <c r="I68" s="1084"/>
      <c r="J68" s="1084"/>
      <c r="K68" s="1084"/>
      <c r="L68" s="1084"/>
      <c r="M68" s="1084"/>
      <c r="N68" s="1084"/>
      <c r="O68" s="1084"/>
      <c r="P68" s="1084"/>
      <c r="Q68" s="1084"/>
      <c r="R68" s="1084"/>
      <c r="S68" s="1084"/>
      <c r="T68" s="1084"/>
      <c r="U68" s="1084"/>
      <c r="V68" s="1084"/>
      <c r="W68" s="1084"/>
      <c r="X68" s="1084"/>
      <c r="Y68" s="1084"/>
      <c r="Z68" s="1084"/>
      <c r="AA68" s="1084"/>
      <c r="AB68" s="1084"/>
      <c r="AC68" s="1084"/>
      <c r="AD68" s="1084"/>
      <c r="AE68" s="1084"/>
      <c r="AF68" s="1084"/>
      <c r="AG68" s="1084"/>
      <c r="AH68" s="1084"/>
      <c r="AI68" s="1084"/>
      <c r="AJ68" s="1084"/>
      <c r="AK68" s="1084"/>
      <c r="AL68" s="1084"/>
      <c r="AM68" s="1084"/>
      <c r="AN68" s="1084"/>
      <c r="AO68" s="1084"/>
      <c r="AP68" s="1084"/>
      <c r="AQ68" s="784"/>
      <c r="AR68" s="785"/>
      <c r="AS68" s="785"/>
      <c r="AT68" s="1085">
        <v>0</v>
      </c>
      <c r="AU68" s="1086"/>
      <c r="AV68" s="1086"/>
      <c r="AW68" s="1086"/>
      <c r="AX68" s="1086"/>
      <c r="AY68" s="1086"/>
      <c r="AZ68" s="1086"/>
      <c r="BA68" s="1086"/>
      <c r="BB68" s="1086"/>
      <c r="BC68" s="1086"/>
      <c r="BD68" s="1086"/>
      <c r="BE68" s="1086"/>
      <c r="BF68" s="1086"/>
      <c r="BG68" s="786"/>
      <c r="BH68" s="787"/>
      <c r="BI68" s="787"/>
      <c r="BJ68" s="1085">
        <v>0</v>
      </c>
      <c r="BK68" s="1086"/>
      <c r="BL68" s="1086"/>
      <c r="BM68" s="1086"/>
      <c r="BN68" s="1086"/>
      <c r="BO68" s="1086"/>
      <c r="BP68" s="1086"/>
      <c r="BQ68" s="1086"/>
      <c r="BR68" s="1086"/>
      <c r="BS68" s="1086"/>
      <c r="BT68" s="1086"/>
      <c r="BU68" s="1086"/>
      <c r="BV68" s="1086"/>
      <c r="BW68" s="786"/>
      <c r="BX68" s="787"/>
      <c r="BY68" s="787"/>
      <c r="BZ68" s="1087">
        <f t="shared" si="3"/>
        <v>0</v>
      </c>
      <c r="CA68" s="1088"/>
      <c r="CB68" s="1088"/>
      <c r="CC68" s="1088"/>
      <c r="CD68" s="1088"/>
      <c r="CE68" s="1088"/>
      <c r="CF68" s="1088"/>
      <c r="CG68" s="1088"/>
      <c r="CH68" s="1088"/>
      <c r="CI68" s="1088"/>
      <c r="CJ68" s="1088"/>
      <c r="CK68" s="1088"/>
      <c r="CL68" s="1088"/>
      <c r="CM68" s="784"/>
      <c r="CN68" s="785"/>
      <c r="CO68" s="1089"/>
      <c r="CP68" s="1090"/>
      <c r="CQ68" s="1090"/>
      <c r="CR68" s="1090"/>
      <c r="CS68" s="1090"/>
      <c r="CT68" s="1090"/>
      <c r="CU68" s="1090"/>
      <c r="CV68" s="1090"/>
      <c r="CW68" s="1090"/>
      <c r="CX68" s="1090"/>
      <c r="CY68" s="1090"/>
      <c r="CZ68" s="1090"/>
      <c r="DA68" s="1090"/>
      <c r="DB68" s="1090"/>
      <c r="DC68" s="1090"/>
      <c r="DD68" s="1090"/>
      <c r="DE68" s="1090"/>
      <c r="DF68" s="1090"/>
      <c r="DG68" s="1090"/>
      <c r="DH68" s="1090"/>
      <c r="DJ68" s="772"/>
    </row>
    <row r="69" spans="3:114" ht="18.75" customHeight="1" x14ac:dyDescent="0.3">
      <c r="C69" s="772"/>
      <c r="D69" s="783">
        <v>3</v>
      </c>
      <c r="E69" s="1083"/>
      <c r="F69" s="1084"/>
      <c r="G69" s="1084"/>
      <c r="H69" s="1084"/>
      <c r="I69" s="1084"/>
      <c r="J69" s="1084"/>
      <c r="K69" s="1084"/>
      <c r="L69" s="1084"/>
      <c r="M69" s="1084"/>
      <c r="N69" s="1084"/>
      <c r="O69" s="1084"/>
      <c r="P69" s="1084"/>
      <c r="Q69" s="1084"/>
      <c r="R69" s="1084"/>
      <c r="S69" s="1084"/>
      <c r="T69" s="1084"/>
      <c r="U69" s="1084"/>
      <c r="V69" s="1084"/>
      <c r="W69" s="1084"/>
      <c r="X69" s="1084"/>
      <c r="Y69" s="1084"/>
      <c r="Z69" s="1084"/>
      <c r="AA69" s="1084"/>
      <c r="AB69" s="1084"/>
      <c r="AC69" s="1084"/>
      <c r="AD69" s="1084"/>
      <c r="AE69" s="1084"/>
      <c r="AF69" s="1084"/>
      <c r="AG69" s="1084"/>
      <c r="AH69" s="1084"/>
      <c r="AI69" s="1084"/>
      <c r="AJ69" s="1084"/>
      <c r="AK69" s="1084"/>
      <c r="AL69" s="1084"/>
      <c r="AM69" s="1084"/>
      <c r="AN69" s="1084"/>
      <c r="AO69" s="1084"/>
      <c r="AP69" s="1084"/>
      <c r="AQ69" s="784"/>
      <c r="AR69" s="785"/>
      <c r="AS69" s="785"/>
      <c r="AT69" s="1085">
        <v>0</v>
      </c>
      <c r="AU69" s="1086"/>
      <c r="AV69" s="1086"/>
      <c r="AW69" s="1086"/>
      <c r="AX69" s="1086"/>
      <c r="AY69" s="1086"/>
      <c r="AZ69" s="1086"/>
      <c r="BA69" s="1086"/>
      <c r="BB69" s="1086"/>
      <c r="BC69" s="1086"/>
      <c r="BD69" s="1086"/>
      <c r="BE69" s="1086"/>
      <c r="BF69" s="1086"/>
      <c r="BG69" s="786"/>
      <c r="BH69" s="787"/>
      <c r="BI69" s="787"/>
      <c r="BJ69" s="1085">
        <v>0</v>
      </c>
      <c r="BK69" s="1086"/>
      <c r="BL69" s="1086"/>
      <c r="BM69" s="1086"/>
      <c r="BN69" s="1086"/>
      <c r="BO69" s="1086"/>
      <c r="BP69" s="1086"/>
      <c r="BQ69" s="1086"/>
      <c r="BR69" s="1086"/>
      <c r="BS69" s="1086"/>
      <c r="BT69" s="1086"/>
      <c r="BU69" s="1086"/>
      <c r="BV69" s="1086"/>
      <c r="BW69" s="786"/>
      <c r="BX69" s="787"/>
      <c r="BY69" s="787"/>
      <c r="BZ69" s="1087">
        <f t="shared" si="3"/>
        <v>0</v>
      </c>
      <c r="CA69" s="1088"/>
      <c r="CB69" s="1088"/>
      <c r="CC69" s="1088"/>
      <c r="CD69" s="1088"/>
      <c r="CE69" s="1088"/>
      <c r="CF69" s="1088"/>
      <c r="CG69" s="1088"/>
      <c r="CH69" s="1088"/>
      <c r="CI69" s="1088"/>
      <c r="CJ69" s="1088"/>
      <c r="CK69" s="1088"/>
      <c r="CL69" s="1088"/>
      <c r="CM69" s="784"/>
      <c r="CN69" s="785"/>
      <c r="CO69" s="1089"/>
      <c r="CP69" s="1090"/>
      <c r="CQ69" s="1090"/>
      <c r="CR69" s="1090"/>
      <c r="CS69" s="1090"/>
      <c r="CT69" s="1090"/>
      <c r="CU69" s="1090"/>
      <c r="CV69" s="1090"/>
      <c r="CW69" s="1090"/>
      <c r="CX69" s="1090"/>
      <c r="CY69" s="1090"/>
      <c r="CZ69" s="1090"/>
      <c r="DA69" s="1090"/>
      <c r="DB69" s="1090"/>
      <c r="DC69" s="1090"/>
      <c r="DD69" s="1090"/>
      <c r="DE69" s="1090"/>
      <c r="DF69" s="1090"/>
      <c r="DG69" s="1090"/>
      <c r="DH69" s="1090"/>
      <c r="DJ69" s="772"/>
    </row>
    <row r="70" spans="3:114" ht="18.75" customHeight="1" x14ac:dyDescent="0.3">
      <c r="C70" s="772"/>
      <c r="D70" s="783">
        <v>4</v>
      </c>
      <c r="E70" s="1083"/>
      <c r="F70" s="1084"/>
      <c r="G70" s="1084"/>
      <c r="H70" s="1084"/>
      <c r="I70" s="1084"/>
      <c r="J70" s="1084"/>
      <c r="K70" s="1084"/>
      <c r="L70" s="1084"/>
      <c r="M70" s="1084"/>
      <c r="N70" s="1084"/>
      <c r="O70" s="1084"/>
      <c r="P70" s="1084"/>
      <c r="Q70" s="1084"/>
      <c r="R70" s="1084"/>
      <c r="S70" s="1084"/>
      <c r="T70" s="1084"/>
      <c r="U70" s="1084"/>
      <c r="V70" s="1084"/>
      <c r="W70" s="1084"/>
      <c r="X70" s="1084"/>
      <c r="Y70" s="1084"/>
      <c r="Z70" s="1084"/>
      <c r="AA70" s="1084"/>
      <c r="AB70" s="1084"/>
      <c r="AC70" s="1084"/>
      <c r="AD70" s="1084"/>
      <c r="AE70" s="1084"/>
      <c r="AF70" s="1084"/>
      <c r="AG70" s="1084"/>
      <c r="AH70" s="1084"/>
      <c r="AI70" s="1084"/>
      <c r="AJ70" s="1084"/>
      <c r="AK70" s="1084"/>
      <c r="AL70" s="1084"/>
      <c r="AM70" s="1084"/>
      <c r="AN70" s="1084"/>
      <c r="AO70" s="1084"/>
      <c r="AP70" s="1084"/>
      <c r="AQ70" s="784"/>
      <c r="AR70" s="785"/>
      <c r="AS70" s="785"/>
      <c r="AT70" s="1085">
        <v>0</v>
      </c>
      <c r="AU70" s="1086"/>
      <c r="AV70" s="1086"/>
      <c r="AW70" s="1086"/>
      <c r="AX70" s="1086"/>
      <c r="AY70" s="1086"/>
      <c r="AZ70" s="1086"/>
      <c r="BA70" s="1086"/>
      <c r="BB70" s="1086"/>
      <c r="BC70" s="1086"/>
      <c r="BD70" s="1086"/>
      <c r="BE70" s="1086"/>
      <c r="BF70" s="1086"/>
      <c r="BG70" s="786"/>
      <c r="BH70" s="787"/>
      <c r="BI70" s="787"/>
      <c r="BJ70" s="1085">
        <v>0</v>
      </c>
      <c r="BK70" s="1086"/>
      <c r="BL70" s="1086"/>
      <c r="BM70" s="1086"/>
      <c r="BN70" s="1086"/>
      <c r="BO70" s="1086"/>
      <c r="BP70" s="1086"/>
      <c r="BQ70" s="1086"/>
      <c r="BR70" s="1086"/>
      <c r="BS70" s="1086"/>
      <c r="BT70" s="1086"/>
      <c r="BU70" s="1086"/>
      <c r="BV70" s="1086"/>
      <c r="BW70" s="786"/>
      <c r="BX70" s="787"/>
      <c r="BY70" s="787"/>
      <c r="BZ70" s="1087">
        <f t="shared" si="3"/>
        <v>0</v>
      </c>
      <c r="CA70" s="1088"/>
      <c r="CB70" s="1088"/>
      <c r="CC70" s="1088"/>
      <c r="CD70" s="1088"/>
      <c r="CE70" s="1088"/>
      <c r="CF70" s="1088"/>
      <c r="CG70" s="1088"/>
      <c r="CH70" s="1088"/>
      <c r="CI70" s="1088"/>
      <c r="CJ70" s="1088"/>
      <c r="CK70" s="1088"/>
      <c r="CL70" s="1088"/>
      <c r="CM70" s="784"/>
      <c r="CN70" s="785"/>
      <c r="CO70" s="1089"/>
      <c r="CP70" s="1090"/>
      <c r="CQ70" s="1090"/>
      <c r="CR70" s="1090"/>
      <c r="CS70" s="1090"/>
      <c r="CT70" s="1090"/>
      <c r="CU70" s="1090"/>
      <c r="CV70" s="1090"/>
      <c r="CW70" s="1090"/>
      <c r="CX70" s="1090"/>
      <c r="CY70" s="1090"/>
      <c r="CZ70" s="1090"/>
      <c r="DA70" s="1090"/>
      <c r="DB70" s="1090"/>
      <c r="DC70" s="1090"/>
      <c r="DD70" s="1090"/>
      <c r="DE70" s="1090"/>
      <c r="DF70" s="1090"/>
      <c r="DG70" s="1090"/>
      <c r="DH70" s="1090"/>
      <c r="DI70" s="763"/>
      <c r="DJ70" s="772"/>
    </row>
    <row r="71" spans="3:114" ht="18.75" customHeight="1" x14ac:dyDescent="0.3">
      <c r="C71" s="772"/>
      <c r="D71" s="783">
        <v>5</v>
      </c>
      <c r="E71" s="1083"/>
      <c r="F71" s="1084"/>
      <c r="G71" s="1084"/>
      <c r="H71" s="1084"/>
      <c r="I71" s="1084"/>
      <c r="J71" s="1084"/>
      <c r="K71" s="1084"/>
      <c r="L71" s="1084"/>
      <c r="M71" s="1084"/>
      <c r="N71" s="1084"/>
      <c r="O71" s="1084"/>
      <c r="P71" s="1084"/>
      <c r="Q71" s="1084"/>
      <c r="R71" s="1084"/>
      <c r="S71" s="1084"/>
      <c r="T71" s="1084"/>
      <c r="U71" s="1084"/>
      <c r="V71" s="1084"/>
      <c r="W71" s="1084"/>
      <c r="X71" s="1084"/>
      <c r="Y71" s="1084"/>
      <c r="Z71" s="1084"/>
      <c r="AA71" s="1084"/>
      <c r="AB71" s="1084"/>
      <c r="AC71" s="1084"/>
      <c r="AD71" s="1084"/>
      <c r="AE71" s="1084"/>
      <c r="AF71" s="1084"/>
      <c r="AG71" s="1084"/>
      <c r="AH71" s="1084"/>
      <c r="AI71" s="1084"/>
      <c r="AJ71" s="1084"/>
      <c r="AK71" s="1084"/>
      <c r="AL71" s="1084"/>
      <c r="AM71" s="1084"/>
      <c r="AN71" s="1084"/>
      <c r="AO71" s="1084"/>
      <c r="AP71" s="1084"/>
      <c r="AQ71" s="784"/>
      <c r="AR71" s="785"/>
      <c r="AS71" s="785"/>
      <c r="AT71" s="1085">
        <v>0</v>
      </c>
      <c r="AU71" s="1086"/>
      <c r="AV71" s="1086"/>
      <c r="AW71" s="1086"/>
      <c r="AX71" s="1086"/>
      <c r="AY71" s="1086"/>
      <c r="AZ71" s="1086"/>
      <c r="BA71" s="1086"/>
      <c r="BB71" s="1086"/>
      <c r="BC71" s="1086"/>
      <c r="BD71" s="1086"/>
      <c r="BE71" s="1086"/>
      <c r="BF71" s="1086"/>
      <c r="BG71" s="786"/>
      <c r="BH71" s="787"/>
      <c r="BI71" s="787"/>
      <c r="BJ71" s="1085">
        <v>0</v>
      </c>
      <c r="BK71" s="1086"/>
      <c r="BL71" s="1086"/>
      <c r="BM71" s="1086"/>
      <c r="BN71" s="1086"/>
      <c r="BO71" s="1086"/>
      <c r="BP71" s="1086"/>
      <c r="BQ71" s="1086"/>
      <c r="BR71" s="1086"/>
      <c r="BS71" s="1086"/>
      <c r="BT71" s="1086"/>
      <c r="BU71" s="1086"/>
      <c r="BV71" s="1086"/>
      <c r="BW71" s="786"/>
      <c r="BX71" s="787"/>
      <c r="BY71" s="787"/>
      <c r="BZ71" s="1087">
        <f t="shared" si="3"/>
        <v>0</v>
      </c>
      <c r="CA71" s="1088"/>
      <c r="CB71" s="1088"/>
      <c r="CC71" s="1088"/>
      <c r="CD71" s="1088"/>
      <c r="CE71" s="1088"/>
      <c r="CF71" s="1088"/>
      <c r="CG71" s="1088"/>
      <c r="CH71" s="1088"/>
      <c r="CI71" s="1088"/>
      <c r="CJ71" s="1088"/>
      <c r="CK71" s="1088"/>
      <c r="CL71" s="1088"/>
      <c r="CM71" s="784"/>
      <c r="CN71" s="785"/>
      <c r="CO71" s="1089"/>
      <c r="CP71" s="1090"/>
      <c r="CQ71" s="1090"/>
      <c r="CR71" s="1090"/>
      <c r="CS71" s="1090"/>
      <c r="CT71" s="1090"/>
      <c r="CU71" s="1090"/>
      <c r="CV71" s="1090"/>
      <c r="CW71" s="1090"/>
      <c r="CX71" s="1090"/>
      <c r="CY71" s="1090"/>
      <c r="CZ71" s="1090"/>
      <c r="DA71" s="1090"/>
      <c r="DB71" s="1090"/>
      <c r="DC71" s="1090"/>
      <c r="DD71" s="1090"/>
      <c r="DE71" s="1090"/>
      <c r="DF71" s="1090"/>
      <c r="DG71" s="1090"/>
      <c r="DH71" s="1090"/>
      <c r="DJ71" s="772"/>
    </row>
    <row r="72" spans="3:114" ht="18.75" customHeight="1" x14ac:dyDescent="0.3">
      <c r="C72" s="772"/>
      <c r="D72" s="783">
        <v>6</v>
      </c>
      <c r="E72" s="1083"/>
      <c r="F72" s="1084"/>
      <c r="G72" s="1084"/>
      <c r="H72" s="1084"/>
      <c r="I72" s="1084"/>
      <c r="J72" s="1084"/>
      <c r="K72" s="1084"/>
      <c r="L72" s="1084"/>
      <c r="M72" s="1084"/>
      <c r="N72" s="1084"/>
      <c r="O72" s="1084"/>
      <c r="P72" s="1084"/>
      <c r="Q72" s="1084"/>
      <c r="R72" s="1084"/>
      <c r="S72" s="1084"/>
      <c r="T72" s="1084"/>
      <c r="U72" s="1084"/>
      <c r="V72" s="1084"/>
      <c r="W72" s="1084"/>
      <c r="X72" s="1084"/>
      <c r="Y72" s="1084"/>
      <c r="Z72" s="1084"/>
      <c r="AA72" s="1084"/>
      <c r="AB72" s="1084"/>
      <c r="AC72" s="1084"/>
      <c r="AD72" s="1084"/>
      <c r="AE72" s="1084"/>
      <c r="AF72" s="1084"/>
      <c r="AG72" s="1084"/>
      <c r="AH72" s="1084"/>
      <c r="AI72" s="1084"/>
      <c r="AJ72" s="1084"/>
      <c r="AK72" s="1084"/>
      <c r="AL72" s="1084"/>
      <c r="AM72" s="1084"/>
      <c r="AN72" s="1084"/>
      <c r="AO72" s="1084"/>
      <c r="AP72" s="1084"/>
      <c r="AQ72" s="784"/>
      <c r="AR72" s="785"/>
      <c r="AS72" s="785"/>
      <c r="AT72" s="1085">
        <v>0</v>
      </c>
      <c r="AU72" s="1086"/>
      <c r="AV72" s="1086"/>
      <c r="AW72" s="1086"/>
      <c r="AX72" s="1086"/>
      <c r="AY72" s="1086"/>
      <c r="AZ72" s="1086"/>
      <c r="BA72" s="1086"/>
      <c r="BB72" s="1086"/>
      <c r="BC72" s="1086"/>
      <c r="BD72" s="1086"/>
      <c r="BE72" s="1086"/>
      <c r="BF72" s="1086"/>
      <c r="BG72" s="786"/>
      <c r="BH72" s="787"/>
      <c r="BI72" s="787"/>
      <c r="BJ72" s="1085">
        <v>0</v>
      </c>
      <c r="BK72" s="1086"/>
      <c r="BL72" s="1086"/>
      <c r="BM72" s="1086"/>
      <c r="BN72" s="1086"/>
      <c r="BO72" s="1086"/>
      <c r="BP72" s="1086"/>
      <c r="BQ72" s="1086"/>
      <c r="BR72" s="1086"/>
      <c r="BS72" s="1086"/>
      <c r="BT72" s="1086"/>
      <c r="BU72" s="1086"/>
      <c r="BV72" s="1086"/>
      <c r="BW72" s="786"/>
      <c r="BX72" s="787"/>
      <c r="BY72" s="787"/>
      <c r="BZ72" s="1087">
        <f t="shared" si="3"/>
        <v>0</v>
      </c>
      <c r="CA72" s="1088"/>
      <c r="CB72" s="1088"/>
      <c r="CC72" s="1088"/>
      <c r="CD72" s="1088"/>
      <c r="CE72" s="1088"/>
      <c r="CF72" s="1088"/>
      <c r="CG72" s="1088"/>
      <c r="CH72" s="1088"/>
      <c r="CI72" s="1088"/>
      <c r="CJ72" s="1088"/>
      <c r="CK72" s="1088"/>
      <c r="CL72" s="1088"/>
      <c r="CM72" s="784"/>
      <c r="CN72" s="785"/>
      <c r="CO72" s="1089"/>
      <c r="CP72" s="1090"/>
      <c r="CQ72" s="1090"/>
      <c r="CR72" s="1090"/>
      <c r="CS72" s="1090"/>
      <c r="CT72" s="1090"/>
      <c r="CU72" s="1090"/>
      <c r="CV72" s="1090"/>
      <c r="CW72" s="1090"/>
      <c r="CX72" s="1090"/>
      <c r="CY72" s="1090"/>
      <c r="CZ72" s="1090"/>
      <c r="DA72" s="1090"/>
      <c r="DB72" s="1090"/>
      <c r="DC72" s="1090"/>
      <c r="DD72" s="1090"/>
      <c r="DE72" s="1090"/>
      <c r="DF72" s="1090"/>
      <c r="DG72" s="1090"/>
      <c r="DH72" s="1090"/>
      <c r="DI72" s="763"/>
      <c r="DJ72" s="772"/>
    </row>
    <row r="73" spans="3:114" ht="18.75" customHeight="1" x14ac:dyDescent="0.3">
      <c r="C73" s="772"/>
      <c r="D73" s="783">
        <v>7</v>
      </c>
      <c r="E73" s="1083"/>
      <c r="F73" s="1084"/>
      <c r="G73" s="1084"/>
      <c r="H73" s="1084"/>
      <c r="I73" s="1084"/>
      <c r="J73" s="1084"/>
      <c r="K73" s="1084"/>
      <c r="L73" s="1084"/>
      <c r="M73" s="1084"/>
      <c r="N73" s="1084"/>
      <c r="O73" s="1084"/>
      <c r="P73" s="1084"/>
      <c r="Q73" s="1084"/>
      <c r="R73" s="1084"/>
      <c r="S73" s="1084"/>
      <c r="T73" s="1084"/>
      <c r="U73" s="1084"/>
      <c r="V73" s="1084"/>
      <c r="W73" s="1084"/>
      <c r="X73" s="1084"/>
      <c r="Y73" s="1084"/>
      <c r="Z73" s="1084"/>
      <c r="AA73" s="1084"/>
      <c r="AB73" s="1084"/>
      <c r="AC73" s="1084"/>
      <c r="AD73" s="1084"/>
      <c r="AE73" s="1084"/>
      <c r="AF73" s="1084"/>
      <c r="AG73" s="1084"/>
      <c r="AH73" s="1084"/>
      <c r="AI73" s="1084"/>
      <c r="AJ73" s="1084"/>
      <c r="AK73" s="1084"/>
      <c r="AL73" s="1084"/>
      <c r="AM73" s="1084"/>
      <c r="AN73" s="1084"/>
      <c r="AO73" s="1084"/>
      <c r="AP73" s="1084"/>
      <c r="AQ73" s="784"/>
      <c r="AR73" s="785"/>
      <c r="AS73" s="785"/>
      <c r="AT73" s="1085">
        <v>0</v>
      </c>
      <c r="AU73" s="1086"/>
      <c r="AV73" s="1086"/>
      <c r="AW73" s="1086"/>
      <c r="AX73" s="1086"/>
      <c r="AY73" s="1086"/>
      <c r="AZ73" s="1086"/>
      <c r="BA73" s="1086"/>
      <c r="BB73" s="1086"/>
      <c r="BC73" s="1086"/>
      <c r="BD73" s="1086"/>
      <c r="BE73" s="1086"/>
      <c r="BF73" s="1086"/>
      <c r="BG73" s="786"/>
      <c r="BH73" s="787"/>
      <c r="BI73" s="787"/>
      <c r="BJ73" s="1085">
        <v>0</v>
      </c>
      <c r="BK73" s="1086"/>
      <c r="BL73" s="1086"/>
      <c r="BM73" s="1086"/>
      <c r="BN73" s="1086"/>
      <c r="BO73" s="1086"/>
      <c r="BP73" s="1086"/>
      <c r="BQ73" s="1086"/>
      <c r="BR73" s="1086"/>
      <c r="BS73" s="1086"/>
      <c r="BT73" s="1086"/>
      <c r="BU73" s="1086"/>
      <c r="BV73" s="1086"/>
      <c r="BW73" s="786"/>
      <c r="BX73" s="787"/>
      <c r="BY73" s="787"/>
      <c r="BZ73" s="1087">
        <f t="shared" si="3"/>
        <v>0</v>
      </c>
      <c r="CA73" s="1088"/>
      <c r="CB73" s="1088"/>
      <c r="CC73" s="1088"/>
      <c r="CD73" s="1088"/>
      <c r="CE73" s="1088"/>
      <c r="CF73" s="1088"/>
      <c r="CG73" s="1088"/>
      <c r="CH73" s="1088"/>
      <c r="CI73" s="1088"/>
      <c r="CJ73" s="1088"/>
      <c r="CK73" s="1088"/>
      <c r="CL73" s="1088"/>
      <c r="CM73" s="784"/>
      <c r="CN73" s="785"/>
      <c r="CO73" s="1089"/>
      <c r="CP73" s="1090"/>
      <c r="CQ73" s="1090"/>
      <c r="CR73" s="1090"/>
      <c r="CS73" s="1090"/>
      <c r="CT73" s="1090"/>
      <c r="CU73" s="1090"/>
      <c r="CV73" s="1090"/>
      <c r="CW73" s="1090"/>
      <c r="CX73" s="1090"/>
      <c r="CY73" s="1090"/>
      <c r="CZ73" s="1090"/>
      <c r="DA73" s="1090"/>
      <c r="DB73" s="1090"/>
      <c r="DC73" s="1090"/>
      <c r="DD73" s="1090"/>
      <c r="DE73" s="1090"/>
      <c r="DF73" s="1090"/>
      <c r="DG73" s="1090"/>
      <c r="DH73" s="1090"/>
      <c r="DJ73" s="772"/>
    </row>
    <row r="74" spans="3:114" ht="18.75" customHeight="1" x14ac:dyDescent="0.3">
      <c r="C74" s="772"/>
      <c r="D74" s="783">
        <v>8</v>
      </c>
      <c r="E74" s="1083"/>
      <c r="F74" s="1084"/>
      <c r="G74" s="1084"/>
      <c r="H74" s="1084"/>
      <c r="I74" s="1084"/>
      <c r="J74" s="1084"/>
      <c r="K74" s="1084"/>
      <c r="L74" s="1084"/>
      <c r="M74" s="1084"/>
      <c r="N74" s="1084"/>
      <c r="O74" s="1084"/>
      <c r="P74" s="1084"/>
      <c r="Q74" s="1084"/>
      <c r="R74" s="1084"/>
      <c r="S74" s="1084"/>
      <c r="T74" s="1084"/>
      <c r="U74" s="1084"/>
      <c r="V74" s="1084"/>
      <c r="W74" s="1084"/>
      <c r="X74" s="1084"/>
      <c r="Y74" s="1084"/>
      <c r="Z74" s="1084"/>
      <c r="AA74" s="1084"/>
      <c r="AB74" s="1084"/>
      <c r="AC74" s="1084"/>
      <c r="AD74" s="1084"/>
      <c r="AE74" s="1084"/>
      <c r="AF74" s="1084"/>
      <c r="AG74" s="1084"/>
      <c r="AH74" s="1084"/>
      <c r="AI74" s="1084"/>
      <c r="AJ74" s="1084"/>
      <c r="AK74" s="1084"/>
      <c r="AL74" s="1084"/>
      <c r="AM74" s="1084"/>
      <c r="AN74" s="1084"/>
      <c r="AO74" s="1084"/>
      <c r="AP74" s="1084"/>
      <c r="AQ74" s="784"/>
      <c r="AR74" s="785"/>
      <c r="AS74" s="785"/>
      <c r="AT74" s="1085">
        <v>0</v>
      </c>
      <c r="AU74" s="1086"/>
      <c r="AV74" s="1086"/>
      <c r="AW74" s="1086"/>
      <c r="AX74" s="1086"/>
      <c r="AY74" s="1086"/>
      <c r="AZ74" s="1086"/>
      <c r="BA74" s="1086"/>
      <c r="BB74" s="1086"/>
      <c r="BC74" s="1086"/>
      <c r="BD74" s="1086"/>
      <c r="BE74" s="1086"/>
      <c r="BF74" s="1086"/>
      <c r="BG74" s="786"/>
      <c r="BH74" s="787"/>
      <c r="BI74" s="787"/>
      <c r="BJ74" s="1085">
        <v>0</v>
      </c>
      <c r="BK74" s="1086"/>
      <c r="BL74" s="1086"/>
      <c r="BM74" s="1086"/>
      <c r="BN74" s="1086"/>
      <c r="BO74" s="1086"/>
      <c r="BP74" s="1086"/>
      <c r="BQ74" s="1086"/>
      <c r="BR74" s="1086"/>
      <c r="BS74" s="1086"/>
      <c r="BT74" s="1086"/>
      <c r="BU74" s="1086"/>
      <c r="BV74" s="1086"/>
      <c r="BW74" s="786"/>
      <c r="BX74" s="787"/>
      <c r="BY74" s="787"/>
      <c r="BZ74" s="1087">
        <f t="shared" si="3"/>
        <v>0</v>
      </c>
      <c r="CA74" s="1088"/>
      <c r="CB74" s="1088"/>
      <c r="CC74" s="1088"/>
      <c r="CD74" s="1088"/>
      <c r="CE74" s="1088"/>
      <c r="CF74" s="1088"/>
      <c r="CG74" s="1088"/>
      <c r="CH74" s="1088"/>
      <c r="CI74" s="1088"/>
      <c r="CJ74" s="1088"/>
      <c r="CK74" s="1088"/>
      <c r="CL74" s="1088"/>
      <c r="CM74" s="784"/>
      <c r="CN74" s="785"/>
      <c r="CO74" s="1089"/>
      <c r="CP74" s="1090"/>
      <c r="CQ74" s="1090"/>
      <c r="CR74" s="1090"/>
      <c r="CS74" s="1090"/>
      <c r="CT74" s="1090"/>
      <c r="CU74" s="1090"/>
      <c r="CV74" s="1090"/>
      <c r="CW74" s="1090"/>
      <c r="CX74" s="1090"/>
      <c r="CY74" s="1090"/>
      <c r="CZ74" s="1090"/>
      <c r="DA74" s="1090"/>
      <c r="DB74" s="1090"/>
      <c r="DC74" s="1090"/>
      <c r="DD74" s="1090"/>
      <c r="DE74" s="1090"/>
      <c r="DF74" s="1090"/>
      <c r="DG74" s="1090"/>
      <c r="DH74" s="1090"/>
      <c r="DI74" s="763"/>
      <c r="DJ74" s="772"/>
    </row>
    <row r="75" spans="3:114" ht="18.75" customHeight="1" x14ac:dyDescent="0.3">
      <c r="C75" s="772"/>
      <c r="D75" s="783">
        <v>9</v>
      </c>
      <c r="E75" s="1083"/>
      <c r="F75" s="1084"/>
      <c r="G75" s="1084"/>
      <c r="H75" s="1084"/>
      <c r="I75" s="1084"/>
      <c r="J75" s="1084"/>
      <c r="K75" s="1084"/>
      <c r="L75" s="1084"/>
      <c r="M75" s="1084"/>
      <c r="N75" s="1084"/>
      <c r="O75" s="1084"/>
      <c r="P75" s="1084"/>
      <c r="Q75" s="1084"/>
      <c r="R75" s="1084"/>
      <c r="S75" s="1084"/>
      <c r="T75" s="1084"/>
      <c r="U75" s="1084"/>
      <c r="V75" s="1084"/>
      <c r="W75" s="1084"/>
      <c r="X75" s="1084"/>
      <c r="Y75" s="1084"/>
      <c r="Z75" s="1084"/>
      <c r="AA75" s="1084"/>
      <c r="AB75" s="1084"/>
      <c r="AC75" s="1084"/>
      <c r="AD75" s="1084"/>
      <c r="AE75" s="1084"/>
      <c r="AF75" s="1084"/>
      <c r="AG75" s="1084"/>
      <c r="AH75" s="1084"/>
      <c r="AI75" s="1084"/>
      <c r="AJ75" s="1084"/>
      <c r="AK75" s="1084"/>
      <c r="AL75" s="1084"/>
      <c r="AM75" s="1084"/>
      <c r="AN75" s="1084"/>
      <c r="AO75" s="1084"/>
      <c r="AP75" s="1084"/>
      <c r="AQ75" s="784"/>
      <c r="AR75" s="785"/>
      <c r="AS75" s="785"/>
      <c r="AT75" s="1085">
        <v>0</v>
      </c>
      <c r="AU75" s="1086"/>
      <c r="AV75" s="1086"/>
      <c r="AW75" s="1086"/>
      <c r="AX75" s="1086"/>
      <c r="AY75" s="1086"/>
      <c r="AZ75" s="1086"/>
      <c r="BA75" s="1086"/>
      <c r="BB75" s="1086"/>
      <c r="BC75" s="1086"/>
      <c r="BD75" s="1086"/>
      <c r="BE75" s="1086"/>
      <c r="BF75" s="1086"/>
      <c r="BG75" s="786"/>
      <c r="BH75" s="787"/>
      <c r="BI75" s="787"/>
      <c r="BJ75" s="1085">
        <v>0</v>
      </c>
      <c r="BK75" s="1086"/>
      <c r="BL75" s="1086"/>
      <c r="BM75" s="1086"/>
      <c r="BN75" s="1086"/>
      <c r="BO75" s="1086"/>
      <c r="BP75" s="1086"/>
      <c r="BQ75" s="1086"/>
      <c r="BR75" s="1086"/>
      <c r="BS75" s="1086"/>
      <c r="BT75" s="1086"/>
      <c r="BU75" s="1086"/>
      <c r="BV75" s="1086"/>
      <c r="BW75" s="786"/>
      <c r="BX75" s="787"/>
      <c r="BY75" s="787"/>
      <c r="BZ75" s="1087">
        <f t="shared" si="3"/>
        <v>0</v>
      </c>
      <c r="CA75" s="1088"/>
      <c r="CB75" s="1088"/>
      <c r="CC75" s="1088"/>
      <c r="CD75" s="1088"/>
      <c r="CE75" s="1088"/>
      <c r="CF75" s="1088"/>
      <c r="CG75" s="1088"/>
      <c r="CH75" s="1088"/>
      <c r="CI75" s="1088"/>
      <c r="CJ75" s="1088"/>
      <c r="CK75" s="1088"/>
      <c r="CL75" s="1088"/>
      <c r="CM75" s="784"/>
      <c r="CN75" s="785"/>
      <c r="CO75" s="1089"/>
      <c r="CP75" s="1090"/>
      <c r="CQ75" s="1090"/>
      <c r="CR75" s="1090"/>
      <c r="CS75" s="1090"/>
      <c r="CT75" s="1090"/>
      <c r="CU75" s="1090"/>
      <c r="CV75" s="1090"/>
      <c r="CW75" s="1090"/>
      <c r="CX75" s="1090"/>
      <c r="CY75" s="1090"/>
      <c r="CZ75" s="1090"/>
      <c r="DA75" s="1090"/>
      <c r="DB75" s="1090"/>
      <c r="DC75" s="1090"/>
      <c r="DD75" s="1090"/>
      <c r="DE75" s="1090"/>
      <c r="DF75" s="1090"/>
      <c r="DG75" s="1090"/>
      <c r="DH75" s="1090"/>
      <c r="DJ75" s="772"/>
    </row>
    <row r="76" spans="3:114" ht="18.75" customHeight="1" x14ac:dyDescent="0.3">
      <c r="C76" s="772"/>
      <c r="D76" s="783">
        <v>10</v>
      </c>
      <c r="E76" s="1083"/>
      <c r="F76" s="1084"/>
      <c r="G76" s="1084"/>
      <c r="H76" s="1084"/>
      <c r="I76" s="1084"/>
      <c r="J76" s="1084"/>
      <c r="K76" s="1084"/>
      <c r="L76" s="1084"/>
      <c r="M76" s="1084"/>
      <c r="N76" s="1084"/>
      <c r="O76" s="1084"/>
      <c r="P76" s="1084"/>
      <c r="Q76" s="1084"/>
      <c r="R76" s="1084"/>
      <c r="S76" s="1084"/>
      <c r="T76" s="1084"/>
      <c r="U76" s="1084"/>
      <c r="V76" s="1084"/>
      <c r="W76" s="1084"/>
      <c r="X76" s="1084"/>
      <c r="Y76" s="1084"/>
      <c r="Z76" s="1084"/>
      <c r="AA76" s="1084"/>
      <c r="AB76" s="1084"/>
      <c r="AC76" s="1084"/>
      <c r="AD76" s="1084"/>
      <c r="AE76" s="1084"/>
      <c r="AF76" s="1084"/>
      <c r="AG76" s="1084"/>
      <c r="AH76" s="1084"/>
      <c r="AI76" s="1084"/>
      <c r="AJ76" s="1084"/>
      <c r="AK76" s="1084"/>
      <c r="AL76" s="1084"/>
      <c r="AM76" s="1084"/>
      <c r="AN76" s="1084"/>
      <c r="AO76" s="1084"/>
      <c r="AP76" s="1084"/>
      <c r="AQ76" s="784"/>
      <c r="AR76" s="785"/>
      <c r="AS76" s="785"/>
      <c r="AT76" s="1085">
        <v>0</v>
      </c>
      <c r="AU76" s="1086"/>
      <c r="AV76" s="1086"/>
      <c r="AW76" s="1086"/>
      <c r="AX76" s="1086"/>
      <c r="AY76" s="1086"/>
      <c r="AZ76" s="1086"/>
      <c r="BA76" s="1086"/>
      <c r="BB76" s="1086"/>
      <c r="BC76" s="1086"/>
      <c r="BD76" s="1086"/>
      <c r="BE76" s="1086"/>
      <c r="BF76" s="1086"/>
      <c r="BG76" s="786"/>
      <c r="BH76" s="787"/>
      <c r="BI76" s="787"/>
      <c r="BJ76" s="1085">
        <v>0</v>
      </c>
      <c r="BK76" s="1086"/>
      <c r="BL76" s="1086"/>
      <c r="BM76" s="1086"/>
      <c r="BN76" s="1086"/>
      <c r="BO76" s="1086"/>
      <c r="BP76" s="1086"/>
      <c r="BQ76" s="1086"/>
      <c r="BR76" s="1086"/>
      <c r="BS76" s="1086"/>
      <c r="BT76" s="1086"/>
      <c r="BU76" s="1086"/>
      <c r="BV76" s="1086"/>
      <c r="BW76" s="786"/>
      <c r="BX76" s="787"/>
      <c r="BY76" s="787"/>
      <c r="BZ76" s="1087">
        <f t="shared" si="3"/>
        <v>0</v>
      </c>
      <c r="CA76" s="1088"/>
      <c r="CB76" s="1088"/>
      <c r="CC76" s="1088"/>
      <c r="CD76" s="1088"/>
      <c r="CE76" s="1088"/>
      <c r="CF76" s="1088"/>
      <c r="CG76" s="1088"/>
      <c r="CH76" s="1088"/>
      <c r="CI76" s="1088"/>
      <c r="CJ76" s="1088"/>
      <c r="CK76" s="1088"/>
      <c r="CL76" s="1088"/>
      <c r="CM76" s="784"/>
      <c r="CN76" s="785"/>
      <c r="CO76" s="1089"/>
      <c r="CP76" s="1090"/>
      <c r="CQ76" s="1090"/>
      <c r="CR76" s="1090"/>
      <c r="CS76" s="1090"/>
      <c r="CT76" s="1090"/>
      <c r="CU76" s="1090"/>
      <c r="CV76" s="1090"/>
      <c r="CW76" s="1090"/>
      <c r="CX76" s="1090"/>
      <c r="CY76" s="1090"/>
      <c r="CZ76" s="1090"/>
      <c r="DA76" s="1090"/>
      <c r="DB76" s="1090"/>
      <c r="DC76" s="1090"/>
      <c r="DD76" s="1090"/>
      <c r="DE76" s="1090"/>
      <c r="DF76" s="1090"/>
      <c r="DG76" s="1090"/>
      <c r="DH76" s="1090"/>
      <c r="DI76" s="763"/>
      <c r="DJ76" s="772"/>
    </row>
    <row r="77" spans="3:114" ht="18.75" customHeight="1" thickBot="1" x14ac:dyDescent="0.35">
      <c r="C77" s="772"/>
      <c r="D77" s="783">
        <v>11</v>
      </c>
      <c r="E77" s="1091" t="str">
        <f ca="1">' '!A213</f>
        <v>TOTAL financement externe</v>
      </c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788"/>
      <c r="AR77" s="789"/>
      <c r="AS77" s="789"/>
      <c r="AT77" s="1093">
        <f>SUM(AT67:BF76)</f>
        <v>0</v>
      </c>
      <c r="AU77" s="1094"/>
      <c r="AV77" s="1094"/>
      <c r="AW77" s="1094"/>
      <c r="AX77" s="1094"/>
      <c r="AY77" s="1094"/>
      <c r="AZ77" s="1094"/>
      <c r="BA77" s="1094"/>
      <c r="BB77" s="1094"/>
      <c r="BC77" s="1094"/>
      <c r="BD77" s="1094"/>
      <c r="BE77" s="1094"/>
      <c r="BF77" s="1094"/>
      <c r="BG77" s="790"/>
      <c r="BH77" s="791"/>
      <c r="BI77" s="791"/>
      <c r="BJ77" s="1093">
        <f>SUM(BJ67:BV76)</f>
        <v>0</v>
      </c>
      <c r="BK77" s="1094"/>
      <c r="BL77" s="1094"/>
      <c r="BM77" s="1094"/>
      <c r="BN77" s="1094"/>
      <c r="BO77" s="1094"/>
      <c r="BP77" s="1094"/>
      <c r="BQ77" s="1094"/>
      <c r="BR77" s="1094"/>
      <c r="BS77" s="1094"/>
      <c r="BT77" s="1094"/>
      <c r="BU77" s="1094"/>
      <c r="BV77" s="1094"/>
      <c r="BW77" s="790"/>
      <c r="BX77" s="791"/>
      <c r="BY77" s="791"/>
      <c r="BZ77" s="1093">
        <f t="shared" si="3"/>
        <v>0</v>
      </c>
      <c r="CA77" s="1094"/>
      <c r="CB77" s="1094"/>
      <c r="CC77" s="1094"/>
      <c r="CD77" s="1094"/>
      <c r="CE77" s="1094"/>
      <c r="CF77" s="1094"/>
      <c r="CG77" s="1094"/>
      <c r="CH77" s="1094"/>
      <c r="CI77" s="1094"/>
      <c r="CJ77" s="1094"/>
      <c r="CK77" s="1094"/>
      <c r="CL77" s="1094"/>
      <c r="CM77" s="788"/>
      <c r="CN77" s="789"/>
      <c r="CO77" s="1095">
        <f>IF(AT77&lt;&gt;0,BJ77/AT77,0)</f>
        <v>0</v>
      </c>
      <c r="CP77" s="1096"/>
      <c r="CQ77" s="1096"/>
      <c r="CR77" s="1096"/>
      <c r="CS77" s="1096"/>
      <c r="CT77" s="1096"/>
      <c r="CU77" s="1096"/>
      <c r="CV77" s="1096"/>
      <c r="CW77" s="1096"/>
      <c r="CX77" s="1096"/>
      <c r="CY77" s="1096"/>
      <c r="CZ77" s="1096"/>
      <c r="DA77" s="1096"/>
      <c r="DB77" s="1096"/>
      <c r="DC77" s="1096"/>
      <c r="DD77" s="1096"/>
      <c r="DE77" s="1096"/>
      <c r="DF77" s="1096"/>
      <c r="DG77" s="1096"/>
      <c r="DH77" s="1096"/>
      <c r="DJ77" s="772"/>
    </row>
    <row r="78" spans="3:114" ht="14.4" thickTop="1" x14ac:dyDescent="0.3">
      <c r="C78" s="792"/>
      <c r="D78" s="793"/>
      <c r="E78" s="793"/>
      <c r="F78" s="793"/>
      <c r="G78" s="793"/>
      <c r="H78" s="793"/>
      <c r="I78" s="793"/>
      <c r="J78" s="793"/>
      <c r="K78" s="793"/>
      <c r="L78" s="793"/>
      <c r="M78" s="793"/>
      <c r="N78" s="793"/>
      <c r="O78" s="793"/>
      <c r="P78" s="793"/>
      <c r="Q78" s="793"/>
      <c r="R78" s="793"/>
      <c r="S78" s="793"/>
      <c r="T78" s="793"/>
      <c r="U78" s="793"/>
      <c r="V78" s="793"/>
      <c r="W78" s="793"/>
      <c r="X78" s="793"/>
      <c r="Y78" s="793"/>
      <c r="Z78" s="793"/>
      <c r="AA78" s="793"/>
      <c r="AB78" s="793"/>
      <c r="AC78" s="793"/>
      <c r="AD78" s="793"/>
      <c r="AE78" s="793"/>
      <c r="AF78" s="793"/>
      <c r="AG78" s="793"/>
      <c r="AH78" s="793"/>
      <c r="AI78" s="793"/>
      <c r="AJ78" s="793"/>
      <c r="AK78" s="793"/>
      <c r="AL78" s="793"/>
      <c r="AM78" s="793"/>
      <c r="AN78" s="793"/>
      <c r="AO78" s="793"/>
      <c r="AP78" s="793"/>
      <c r="AQ78" s="793"/>
      <c r="AR78" s="793"/>
      <c r="AS78" s="793"/>
      <c r="AT78" s="793"/>
      <c r="AU78" s="793"/>
      <c r="AV78" s="793"/>
      <c r="AW78" s="793"/>
      <c r="AX78" s="793"/>
      <c r="AY78" s="793"/>
      <c r="AZ78" s="793"/>
      <c r="BA78" s="793"/>
      <c r="BB78" s="793"/>
      <c r="BC78" s="793"/>
      <c r="BD78" s="793"/>
      <c r="BE78" s="793"/>
      <c r="BF78" s="793"/>
      <c r="BG78" s="793"/>
      <c r="BH78" s="793"/>
      <c r="BI78" s="793"/>
      <c r="BJ78" s="793"/>
      <c r="BK78" s="793"/>
      <c r="BL78" s="793"/>
      <c r="BM78" s="793"/>
      <c r="BN78" s="793"/>
      <c r="BO78" s="793"/>
      <c r="BP78" s="793"/>
      <c r="BQ78" s="793"/>
      <c r="BR78" s="793"/>
      <c r="BS78" s="793"/>
      <c r="BT78" s="793"/>
      <c r="BU78" s="793"/>
      <c r="BV78" s="793"/>
      <c r="BW78" s="793"/>
      <c r="BX78" s="793"/>
      <c r="BY78" s="793"/>
      <c r="BZ78" s="793"/>
      <c r="CA78" s="793"/>
      <c r="CB78" s="793"/>
      <c r="CC78" s="793"/>
      <c r="CD78" s="793"/>
      <c r="CE78" s="793"/>
      <c r="CF78" s="793"/>
      <c r="CG78" s="793"/>
      <c r="CH78" s="793"/>
      <c r="CI78" s="793"/>
      <c r="CJ78" s="793"/>
      <c r="CK78" s="793"/>
      <c r="CL78" s="793"/>
      <c r="CM78" s="793"/>
      <c r="CN78" s="793"/>
      <c r="CO78" s="793"/>
      <c r="CP78" s="793"/>
      <c r="CQ78" s="793"/>
      <c r="CR78" s="793"/>
      <c r="CS78" s="793"/>
      <c r="CT78" s="793"/>
      <c r="CU78" s="793"/>
      <c r="CV78" s="793"/>
      <c r="CW78" s="793"/>
      <c r="CX78" s="793"/>
      <c r="CY78" s="793"/>
      <c r="CZ78" s="793"/>
      <c r="DA78" s="793"/>
      <c r="DB78" s="793"/>
      <c r="DC78" s="793"/>
      <c r="DD78" s="793"/>
      <c r="DE78" s="793"/>
      <c r="DF78" s="793"/>
      <c r="DG78" s="793"/>
      <c r="DH78" s="793"/>
      <c r="DI78" s="793"/>
      <c r="DJ78" s="772"/>
    </row>
    <row r="79" spans="3:114" x14ac:dyDescent="0.3">
      <c r="C79" s="775"/>
      <c r="D79" s="775"/>
      <c r="E79" s="775"/>
      <c r="F79" s="775"/>
      <c r="G79" s="775"/>
      <c r="H79" s="775"/>
      <c r="I79" s="775"/>
      <c r="J79" s="775"/>
      <c r="K79" s="775"/>
      <c r="L79" s="775"/>
      <c r="M79" s="775"/>
      <c r="N79" s="775"/>
      <c r="O79" s="775"/>
      <c r="P79" s="775"/>
      <c r="Q79" s="775"/>
      <c r="R79" s="775"/>
      <c r="S79" s="775"/>
      <c r="T79" s="775"/>
      <c r="U79" s="775"/>
      <c r="V79" s="775"/>
      <c r="W79" s="775"/>
      <c r="X79" s="775"/>
      <c r="Y79" s="775"/>
      <c r="Z79" s="775"/>
      <c r="AA79" s="775"/>
      <c r="AB79" s="775"/>
      <c r="AC79" s="775"/>
      <c r="AD79" s="775"/>
      <c r="AE79" s="775"/>
      <c r="AF79" s="775"/>
      <c r="AG79" s="775"/>
      <c r="AH79" s="775"/>
      <c r="AI79" s="775"/>
      <c r="AJ79" s="775"/>
      <c r="AK79" s="775"/>
      <c r="AL79" s="775"/>
      <c r="AM79" s="775"/>
      <c r="AN79" s="775"/>
      <c r="AO79" s="775"/>
      <c r="AP79" s="775"/>
      <c r="AQ79" s="775"/>
      <c r="AR79" s="775"/>
      <c r="AS79" s="775"/>
      <c r="AT79" s="775"/>
      <c r="AU79" s="775"/>
      <c r="AV79" s="775"/>
      <c r="AW79" s="775"/>
      <c r="AX79" s="775"/>
      <c r="AY79" s="775"/>
      <c r="AZ79" s="775"/>
      <c r="BA79" s="775"/>
      <c r="BB79" s="775"/>
      <c r="BC79" s="775"/>
      <c r="BD79" s="775"/>
      <c r="BE79" s="775"/>
      <c r="BF79" s="775"/>
      <c r="BG79" s="775"/>
      <c r="BH79" s="775"/>
      <c r="BI79" s="775"/>
      <c r="BJ79" s="775"/>
      <c r="BK79" s="775"/>
      <c r="BL79" s="775"/>
      <c r="BM79" s="775"/>
      <c r="BN79" s="775"/>
      <c r="BO79" s="775"/>
      <c r="BP79" s="775"/>
      <c r="BQ79" s="775"/>
      <c r="BR79" s="775"/>
      <c r="BS79" s="775"/>
      <c r="BT79" s="775"/>
      <c r="BU79" s="775"/>
      <c r="BV79" s="775"/>
      <c r="BW79" s="775"/>
      <c r="BX79" s="775"/>
      <c r="BY79" s="775"/>
      <c r="BZ79" s="775"/>
      <c r="CA79" s="775"/>
      <c r="CB79" s="775"/>
      <c r="CC79" s="775"/>
      <c r="CD79" s="775"/>
      <c r="CE79" s="775"/>
      <c r="CF79" s="775"/>
      <c r="CG79" s="775"/>
      <c r="CH79" s="775"/>
      <c r="CI79" s="775"/>
      <c r="CJ79" s="775"/>
      <c r="CK79" s="775"/>
      <c r="CL79" s="775"/>
      <c r="CM79" s="775"/>
      <c r="CN79" s="775"/>
      <c r="CO79" s="775"/>
      <c r="CP79" s="775"/>
      <c r="CQ79" s="775"/>
      <c r="CR79" s="775"/>
      <c r="CS79" s="775"/>
      <c r="CT79" s="775"/>
      <c r="CU79" s="775"/>
      <c r="CV79" s="775"/>
      <c r="CW79" s="775"/>
      <c r="CX79" s="775"/>
      <c r="CY79" s="775"/>
      <c r="CZ79" s="775"/>
      <c r="DA79" s="775"/>
      <c r="DB79" s="775"/>
      <c r="DC79" s="775"/>
      <c r="DD79" s="775"/>
      <c r="DE79" s="775"/>
      <c r="DF79" s="775"/>
      <c r="DG79" s="775"/>
      <c r="DH79" s="775"/>
      <c r="DI79" s="775"/>
      <c r="DJ79" s="775"/>
    </row>
    <row r="80" spans="3:114" ht="10.5" customHeight="1" x14ac:dyDescent="0.3">
      <c r="C80" s="520" t="s">
        <v>1705</v>
      </c>
      <c r="D80" s="73"/>
      <c r="DJ80" s="801"/>
    </row>
  </sheetData>
  <sheetProtection sheet="1" objects="1" scenarios="1" formatCells="0" formatColumns="0" formatRows="0" insertHyperlinks="0" sort="0" autoFilter="0"/>
  <sortState xmlns:xlrd2="http://schemas.microsoft.com/office/spreadsheetml/2017/richdata2" ref="E8:AP10">
    <sortCondition ref="E8:E10"/>
  </sortState>
  <mergeCells count="320">
    <mergeCell ref="BJ56:BV56"/>
    <mergeCell ref="BZ56:CL56"/>
    <mergeCell ref="CO56:DH56"/>
    <mergeCell ref="E57:AP57"/>
    <mergeCell ref="AT57:BF57"/>
    <mergeCell ref="BJ57:BV57"/>
    <mergeCell ref="BZ57:CL57"/>
    <mergeCell ref="CO57:DH57"/>
    <mergeCell ref="BJ53:BV53"/>
    <mergeCell ref="BZ53:CL53"/>
    <mergeCell ref="CO53:DH53"/>
    <mergeCell ref="E54:AP54"/>
    <mergeCell ref="AT54:BF54"/>
    <mergeCell ref="BJ54:BV54"/>
    <mergeCell ref="BZ54:CL54"/>
    <mergeCell ref="CO54:DH54"/>
    <mergeCell ref="E55:AP55"/>
    <mergeCell ref="AT55:BF55"/>
    <mergeCell ref="BJ55:BV55"/>
    <mergeCell ref="BZ55:CL55"/>
    <mergeCell ref="CO55:DH55"/>
    <mergeCell ref="BJ50:BV50"/>
    <mergeCell ref="BZ50:CL50"/>
    <mergeCell ref="CO50:DH50"/>
    <mergeCell ref="E51:AP51"/>
    <mergeCell ref="AT51:BF51"/>
    <mergeCell ref="BJ51:BV51"/>
    <mergeCell ref="BZ51:CL51"/>
    <mergeCell ref="CO51:DH51"/>
    <mergeCell ref="E52:AP52"/>
    <mergeCell ref="AT52:BF52"/>
    <mergeCell ref="BJ52:BV52"/>
    <mergeCell ref="BZ52:CL52"/>
    <mergeCell ref="CO52:DH52"/>
    <mergeCell ref="AT5:BF5"/>
    <mergeCell ref="E7:AP7"/>
    <mergeCell ref="AT7:BF7"/>
    <mergeCell ref="E5:AP5"/>
    <mergeCell ref="E8:AP8"/>
    <mergeCell ref="AT8:BF8"/>
    <mergeCell ref="E9:AP9"/>
    <mergeCell ref="AT9:BF9"/>
    <mergeCell ref="E21:AP21"/>
    <mergeCell ref="AT21:BF21"/>
    <mergeCell ref="AT12:BF12"/>
    <mergeCell ref="E13:AP13"/>
    <mergeCell ref="AT13:BF13"/>
    <mergeCell ref="E14:AP14"/>
    <mergeCell ref="E10:AP10"/>
    <mergeCell ref="AT10:BF10"/>
    <mergeCell ref="E11:AP11"/>
    <mergeCell ref="AT11:BF11"/>
    <mergeCell ref="E12:AP12"/>
    <mergeCell ref="AT14:BF14"/>
    <mergeCell ref="E15:AP15"/>
    <mergeCell ref="AT15:BF15"/>
    <mergeCell ref="E16:AP16"/>
    <mergeCell ref="AT16:BF16"/>
    <mergeCell ref="E46:AP46"/>
    <mergeCell ref="AT46:BF46"/>
    <mergeCell ref="E48:AP48"/>
    <mergeCell ref="AT48:BF48"/>
    <mergeCell ref="E58:AP58"/>
    <mergeCell ref="AT58:BF58"/>
    <mergeCell ref="E40:AP40"/>
    <mergeCell ref="AT40:BF40"/>
    <mergeCell ref="E42:AP42"/>
    <mergeCell ref="AT42:BF42"/>
    <mergeCell ref="E44:AP44"/>
    <mergeCell ref="AT44:BF44"/>
    <mergeCell ref="E50:AP50"/>
    <mergeCell ref="AT50:BF50"/>
    <mergeCell ref="E53:AP53"/>
    <mergeCell ref="AT53:BF53"/>
    <mergeCell ref="E56:AP56"/>
    <mergeCell ref="AT56:BF56"/>
    <mergeCell ref="E17:AP17"/>
    <mergeCell ref="AT17:BF17"/>
    <mergeCell ref="E28:AP28"/>
    <mergeCell ref="AT28:BF28"/>
    <mergeCell ref="E18:AP18"/>
    <mergeCell ref="AT18:BF18"/>
    <mergeCell ref="E19:AP19"/>
    <mergeCell ref="AT19:BF19"/>
    <mergeCell ref="E20:AP20"/>
    <mergeCell ref="AT20:BF20"/>
    <mergeCell ref="E24:AP24"/>
    <mergeCell ref="AT24:BF24"/>
    <mergeCell ref="E22:AP22"/>
    <mergeCell ref="AT22:BF22"/>
    <mergeCell ref="E23:AP23"/>
    <mergeCell ref="AT23:BF23"/>
    <mergeCell ref="E61:AP61"/>
    <mergeCell ref="AT61:BF61"/>
    <mergeCell ref="E38:AP38"/>
    <mergeCell ref="AT38:BF38"/>
    <mergeCell ref="E37:AP37"/>
    <mergeCell ref="AT37:BF37"/>
    <mergeCell ref="E30:AP30"/>
    <mergeCell ref="AT30:BF30"/>
    <mergeCell ref="E31:AP31"/>
    <mergeCell ref="AT31:BF31"/>
    <mergeCell ref="E32:AP32"/>
    <mergeCell ref="AT32:BF32"/>
    <mergeCell ref="E43:AP43"/>
    <mergeCell ref="AT43:BF43"/>
    <mergeCell ref="E33:AP33"/>
    <mergeCell ref="AT33:BF33"/>
    <mergeCell ref="E35:AP35"/>
    <mergeCell ref="AT35:BF35"/>
    <mergeCell ref="E34:AP34"/>
    <mergeCell ref="AT34:BF34"/>
    <mergeCell ref="E36:AP36"/>
    <mergeCell ref="AT36:BF36"/>
    <mergeCell ref="E60:AP60"/>
    <mergeCell ref="AT60:BF60"/>
    <mergeCell ref="BJ16:BV16"/>
    <mergeCell ref="BJ17:BV17"/>
    <mergeCell ref="BJ18:BV18"/>
    <mergeCell ref="BJ19:BV19"/>
    <mergeCell ref="E59:AP59"/>
    <mergeCell ref="AT59:BF59"/>
    <mergeCell ref="BJ5:BV5"/>
    <mergeCell ref="BJ7:BV7"/>
    <mergeCell ref="BJ8:BV8"/>
    <mergeCell ref="BJ9:BV9"/>
    <mergeCell ref="BJ10:BV10"/>
    <mergeCell ref="BJ11:BV11"/>
    <mergeCell ref="BJ12:BV12"/>
    <mergeCell ref="BJ13:BV13"/>
    <mergeCell ref="E45:AP45"/>
    <mergeCell ref="AT45:BF45"/>
    <mergeCell ref="E47:AP47"/>
    <mergeCell ref="AT47:BF47"/>
    <mergeCell ref="E49:AP49"/>
    <mergeCell ref="AT49:BF49"/>
    <mergeCell ref="E39:AP39"/>
    <mergeCell ref="AT39:BF39"/>
    <mergeCell ref="E41:AP41"/>
    <mergeCell ref="AT41:BF41"/>
    <mergeCell ref="BJ61:BV61"/>
    <mergeCell ref="BZ5:CL5"/>
    <mergeCell ref="BZ7:CL7"/>
    <mergeCell ref="BZ8:CL8"/>
    <mergeCell ref="BZ9:CL9"/>
    <mergeCell ref="BZ10:CL10"/>
    <mergeCell ref="BZ11:CL11"/>
    <mergeCell ref="BJ44:BV44"/>
    <mergeCell ref="BJ45:BV45"/>
    <mergeCell ref="BJ46:BV46"/>
    <mergeCell ref="BJ47:BV47"/>
    <mergeCell ref="BJ48:BV48"/>
    <mergeCell ref="BJ49:BV49"/>
    <mergeCell ref="BJ38:BV38"/>
    <mergeCell ref="BJ39:BV39"/>
    <mergeCell ref="BJ40:BV40"/>
    <mergeCell ref="BJ41:BV41"/>
    <mergeCell ref="BJ42:BV42"/>
    <mergeCell ref="BJ43:BV43"/>
    <mergeCell ref="BJ32:BV32"/>
    <mergeCell ref="BJ33:BV33"/>
    <mergeCell ref="BJ34:BV34"/>
    <mergeCell ref="BJ35:BV35"/>
    <mergeCell ref="BJ36:BV36"/>
    <mergeCell ref="BZ12:CL12"/>
    <mergeCell ref="BZ13:CL13"/>
    <mergeCell ref="BZ14:CL14"/>
    <mergeCell ref="BZ15:CL15"/>
    <mergeCell ref="BZ16:CL16"/>
    <mergeCell ref="BZ17:CL17"/>
    <mergeCell ref="BJ58:BV58"/>
    <mergeCell ref="BJ59:BV59"/>
    <mergeCell ref="BJ60:BV60"/>
    <mergeCell ref="BJ37:BV37"/>
    <mergeCell ref="BJ24:BV24"/>
    <mergeCell ref="BJ28:BV28"/>
    <mergeCell ref="BJ30:BV30"/>
    <mergeCell ref="BJ31:BV31"/>
    <mergeCell ref="BJ20:BV20"/>
    <mergeCell ref="BJ21:BV21"/>
    <mergeCell ref="BJ22:BV22"/>
    <mergeCell ref="BJ23:BV23"/>
    <mergeCell ref="BJ14:BV14"/>
    <mergeCell ref="BJ15:BV15"/>
    <mergeCell ref="BZ24:CL24"/>
    <mergeCell ref="BZ28:CL28"/>
    <mergeCell ref="BZ18:CL18"/>
    <mergeCell ref="BZ19:CL19"/>
    <mergeCell ref="BZ20:CL20"/>
    <mergeCell ref="BZ21:CL21"/>
    <mergeCell ref="BZ22:CL22"/>
    <mergeCell ref="BZ23:CL23"/>
    <mergeCell ref="BZ36:CL36"/>
    <mergeCell ref="BZ37:CL37"/>
    <mergeCell ref="BZ38:CL38"/>
    <mergeCell ref="BZ39:CL39"/>
    <mergeCell ref="BZ40:CL40"/>
    <mergeCell ref="BZ41:CL41"/>
    <mergeCell ref="BZ30:CL30"/>
    <mergeCell ref="BZ31:CL31"/>
    <mergeCell ref="BZ32:CL32"/>
    <mergeCell ref="BZ33:CL33"/>
    <mergeCell ref="BZ34:CL34"/>
    <mergeCell ref="BZ35:CL35"/>
    <mergeCell ref="BZ48:CL48"/>
    <mergeCell ref="BZ49:CL49"/>
    <mergeCell ref="BZ58:CL58"/>
    <mergeCell ref="BZ59:CL59"/>
    <mergeCell ref="BZ60:CL60"/>
    <mergeCell ref="BZ61:CL61"/>
    <mergeCell ref="BZ42:CL42"/>
    <mergeCell ref="BZ43:CL43"/>
    <mergeCell ref="BZ44:CL44"/>
    <mergeCell ref="BZ45:CL45"/>
    <mergeCell ref="BZ46:CL46"/>
    <mergeCell ref="BZ47:CL47"/>
    <mergeCell ref="CO12:DH12"/>
    <mergeCell ref="CO13:DH13"/>
    <mergeCell ref="CO14:DH14"/>
    <mergeCell ref="CO15:DH15"/>
    <mergeCell ref="CO16:DH16"/>
    <mergeCell ref="CO17:DH17"/>
    <mergeCell ref="CO5:DH5"/>
    <mergeCell ref="CO7:DH7"/>
    <mergeCell ref="CO8:DH8"/>
    <mergeCell ref="CO9:DH9"/>
    <mergeCell ref="CO10:DH10"/>
    <mergeCell ref="CO11:DH11"/>
    <mergeCell ref="CO24:DH24"/>
    <mergeCell ref="CO28:DH28"/>
    <mergeCell ref="CO18:DH18"/>
    <mergeCell ref="CO19:DH19"/>
    <mergeCell ref="CO20:DH20"/>
    <mergeCell ref="CO21:DH21"/>
    <mergeCell ref="CO22:DH22"/>
    <mergeCell ref="CO23:DH23"/>
    <mergeCell ref="CO36:DH36"/>
    <mergeCell ref="CO37:DH37"/>
    <mergeCell ref="CO38:DH38"/>
    <mergeCell ref="CO39:DH39"/>
    <mergeCell ref="CO40:DH40"/>
    <mergeCell ref="CO41:DH41"/>
    <mergeCell ref="CO30:DH30"/>
    <mergeCell ref="CO31:DH31"/>
    <mergeCell ref="CO32:DH32"/>
    <mergeCell ref="CO33:DH33"/>
    <mergeCell ref="CO34:DH34"/>
    <mergeCell ref="CO35:DH35"/>
    <mergeCell ref="CO48:DH48"/>
    <mergeCell ref="CO49:DH49"/>
    <mergeCell ref="CO58:DH58"/>
    <mergeCell ref="CO59:DH59"/>
    <mergeCell ref="CO60:DH60"/>
    <mergeCell ref="CO61:DH61"/>
    <mergeCell ref="CO42:DH42"/>
    <mergeCell ref="CO43:DH43"/>
    <mergeCell ref="CO44:DH44"/>
    <mergeCell ref="CO45:DH45"/>
    <mergeCell ref="CO46:DH46"/>
    <mergeCell ref="CO47:DH47"/>
    <mergeCell ref="E65:AP65"/>
    <mergeCell ref="AT65:BF65"/>
    <mergeCell ref="BJ65:BV65"/>
    <mergeCell ref="BZ65:CL65"/>
    <mergeCell ref="CO65:DH65"/>
    <mergeCell ref="E67:AP67"/>
    <mergeCell ref="AT67:BF67"/>
    <mergeCell ref="BJ67:BV67"/>
    <mergeCell ref="BZ67:CL67"/>
    <mergeCell ref="CO67:DH67"/>
    <mergeCell ref="E68:AP68"/>
    <mergeCell ref="AT68:BF68"/>
    <mergeCell ref="BJ68:BV68"/>
    <mergeCell ref="BZ68:CL68"/>
    <mergeCell ref="CO68:DH68"/>
    <mergeCell ref="E69:AP69"/>
    <mergeCell ref="AT69:BF69"/>
    <mergeCell ref="BJ69:BV69"/>
    <mergeCell ref="BZ69:CL69"/>
    <mergeCell ref="CO69:DH69"/>
    <mergeCell ref="E70:AP70"/>
    <mergeCell ref="AT70:BF70"/>
    <mergeCell ref="BJ70:BV70"/>
    <mergeCell ref="BZ70:CL70"/>
    <mergeCell ref="CO70:DH70"/>
    <mergeCell ref="E71:AP71"/>
    <mergeCell ref="AT71:BF71"/>
    <mergeCell ref="BJ71:BV71"/>
    <mergeCell ref="BZ71:CL71"/>
    <mergeCell ref="CO71:DH71"/>
    <mergeCell ref="E72:AP72"/>
    <mergeCell ref="AT72:BF72"/>
    <mergeCell ref="BJ72:BV72"/>
    <mergeCell ref="BZ72:CL72"/>
    <mergeCell ref="CO72:DH72"/>
    <mergeCell ref="E73:AP73"/>
    <mergeCell ref="AT73:BF73"/>
    <mergeCell ref="BJ73:BV73"/>
    <mergeCell ref="BZ73:CL73"/>
    <mergeCell ref="CO73:DH73"/>
    <mergeCell ref="E74:AP74"/>
    <mergeCell ref="AT74:BF74"/>
    <mergeCell ref="BJ74:BV74"/>
    <mergeCell ref="BZ74:CL74"/>
    <mergeCell ref="CO74:DH74"/>
    <mergeCell ref="E75:AP75"/>
    <mergeCell ref="AT75:BF75"/>
    <mergeCell ref="BJ75:BV75"/>
    <mergeCell ref="BZ75:CL75"/>
    <mergeCell ref="CO75:DH75"/>
    <mergeCell ref="E76:AP76"/>
    <mergeCell ref="AT76:BF76"/>
    <mergeCell ref="BJ76:BV76"/>
    <mergeCell ref="BZ76:CL76"/>
    <mergeCell ref="CO76:DH76"/>
    <mergeCell ref="E77:AP77"/>
    <mergeCell ref="AT77:BF77"/>
    <mergeCell ref="BJ77:BV77"/>
    <mergeCell ref="BZ77:CL77"/>
    <mergeCell ref="CO77:DH77"/>
  </mergeCells>
  <conditionalFormatting sqref="AS60:BF60 E60:AI60 CU60">
    <cfRule type="expression" dxfId="109" priority="12400">
      <formula>MOD(ROW(A3),2)=0</formula>
    </cfRule>
  </conditionalFormatting>
  <conditionalFormatting sqref="E7:AP23 AT7:BF23 BZ7:CL23 CO7:DH23 BJ7:BV23">
    <cfRule type="expression" dxfId="108" priority="116">
      <formula>MOD(ROW(A1048568),2)=0</formula>
    </cfRule>
  </conditionalFormatting>
  <conditionalFormatting sqref="AS61:BF61 E61:AI61">
    <cfRule type="expression" dxfId="107" priority="12402">
      <formula>MOD(ROW(A5),2)=0</formula>
    </cfRule>
  </conditionalFormatting>
  <conditionalFormatting sqref="AJ60:AP60">
    <cfRule type="expression" dxfId="106" priority="12404">
      <formula>MOD(ROW(#REF!),2)=0</formula>
    </cfRule>
  </conditionalFormatting>
  <conditionalFormatting sqref="AJ61:AP61">
    <cfRule type="expression" dxfId="105" priority="12412">
      <formula>MOD(ROW(#REF!),2)=0</formula>
    </cfRule>
  </conditionalFormatting>
  <conditionalFormatting sqref="BI60:BV60">
    <cfRule type="expression" dxfId="104" priority="101">
      <formula>MOD(ROW(BE3),2)=0</formula>
    </cfRule>
  </conditionalFormatting>
  <conditionalFormatting sqref="BI61:BV61">
    <cfRule type="expression" dxfId="103" priority="102">
      <formula>MOD(ROW(BE5),2)=0</formula>
    </cfRule>
  </conditionalFormatting>
  <conditionalFormatting sqref="BY60:CL60">
    <cfRule type="expression" dxfId="102" priority="96">
      <formula>MOD(ROW(BU3),2)=0</formula>
    </cfRule>
  </conditionalFormatting>
  <conditionalFormatting sqref="BY61:CL61">
    <cfRule type="expression" dxfId="101" priority="97">
      <formula>MOD(ROW(BU5),2)=0</formula>
    </cfRule>
  </conditionalFormatting>
  <conditionalFormatting sqref="CO60:CT60">
    <cfRule type="expression" dxfId="100" priority="12413">
      <formula>MOD(ROW(CL3),2)=0</formula>
    </cfRule>
  </conditionalFormatting>
  <conditionalFormatting sqref="CZ60">
    <cfRule type="expression" dxfId="99" priority="12418">
      <formula>MOD(ROW(CQ3),2)=0</formula>
    </cfRule>
  </conditionalFormatting>
  <conditionalFormatting sqref="CY60">
    <cfRule type="expression" dxfId="98" priority="12441">
      <formula>MOD(ROW(CQ3),2)=0</formula>
    </cfRule>
  </conditionalFormatting>
  <conditionalFormatting sqref="CX60">
    <cfRule type="expression" dxfId="97" priority="12459">
      <formula>MOD(ROW(CQ3),2)=0</formula>
    </cfRule>
  </conditionalFormatting>
  <conditionalFormatting sqref="CW60">
    <cfRule type="expression" dxfId="96" priority="12477">
      <formula>MOD(ROW(CQ3),2)=0</formula>
    </cfRule>
  </conditionalFormatting>
  <conditionalFormatting sqref="CV60">
    <cfRule type="expression" dxfId="95" priority="12495">
      <formula>MOD(ROW(CQ3),2)=0</formula>
    </cfRule>
  </conditionalFormatting>
  <conditionalFormatting sqref="DA60:DH60">
    <cfRule type="expression" dxfId="94" priority="12511">
      <formula>MOD(ROW(CQ3),2)=0</formula>
    </cfRule>
  </conditionalFormatting>
  <conditionalFormatting sqref="E30:AP49 CO30:DH49 AT30:BF58 BJ30:BV58 BZ30:CL58">
    <cfRule type="expression" dxfId="93" priority="12545">
      <formula>MOD(ROW(A18),2)=0</formula>
    </cfRule>
  </conditionalFormatting>
  <conditionalFormatting sqref="CO30:CT49">
    <cfRule type="expression" dxfId="92" priority="12550">
      <formula>MOD(ROW(CL18),2)=0</formula>
    </cfRule>
  </conditionalFormatting>
  <conditionalFormatting sqref="CV30:CV49">
    <cfRule type="expression" dxfId="91" priority="12551">
      <formula>MOD(ROW(CQ18),2)=0</formula>
    </cfRule>
  </conditionalFormatting>
  <conditionalFormatting sqref="CZ30:CZ49">
    <cfRule type="expression" dxfId="90" priority="12552">
      <formula>MOD(ROW(CQ18),2)=0</formula>
    </cfRule>
  </conditionalFormatting>
  <conditionalFormatting sqref="CY30:CY49">
    <cfRule type="expression" dxfId="89" priority="12553">
      <formula>MOD(ROW(CQ18),2)=0</formula>
    </cfRule>
  </conditionalFormatting>
  <conditionalFormatting sqref="CX30:CX49">
    <cfRule type="expression" dxfId="88" priority="12554">
      <formula>MOD(ROW(CQ18),2)=0</formula>
    </cfRule>
  </conditionalFormatting>
  <conditionalFormatting sqref="CW30:CW49">
    <cfRule type="expression" dxfId="87" priority="12555">
      <formula>MOD(ROW(CQ18),2)=0</formula>
    </cfRule>
  </conditionalFormatting>
  <conditionalFormatting sqref="DA30:DH49">
    <cfRule type="expression" dxfId="86" priority="12556">
      <formula>MOD(ROW(CQ18),2)=0</formula>
    </cfRule>
  </conditionalFormatting>
  <conditionalFormatting sqref="BZ7:CL24">
    <cfRule type="cellIs" dxfId="85" priority="23" operator="lessThan">
      <formula>0</formula>
    </cfRule>
  </conditionalFormatting>
  <conditionalFormatting sqref="BZ30:CL61">
    <cfRule type="cellIs" dxfId="84" priority="22" operator="lessThan">
      <formula>0</formula>
    </cfRule>
  </conditionalFormatting>
  <conditionalFormatting sqref="BZ67:CL76">
    <cfRule type="cellIs" dxfId="83" priority="13" operator="lessThan">
      <formula>0</formula>
    </cfRule>
  </conditionalFormatting>
  <conditionalFormatting sqref="BZ77:CL77">
    <cfRule type="cellIs" dxfId="82" priority="10" operator="lessThan">
      <formula>0</formula>
    </cfRule>
  </conditionalFormatting>
  <conditionalFormatting sqref="E59:AP59 CO59:DH59 BJ59:BV59 BZ59:CL59 AT59:BF59">
    <cfRule type="expression" dxfId="81" priority="12638">
      <formula>MOD(ROW(A39),2)=0</formula>
    </cfRule>
  </conditionalFormatting>
  <conditionalFormatting sqref="CO67:CT76">
    <cfRule type="expression" dxfId="80" priority="12648">
      <formula>MOD(ROW(CL48),2)=0</formula>
    </cfRule>
  </conditionalFormatting>
  <conditionalFormatting sqref="CV67:CV76">
    <cfRule type="expression" dxfId="79" priority="12650">
      <formula>MOD(ROW(CQ48),2)=0</formula>
    </cfRule>
  </conditionalFormatting>
  <conditionalFormatting sqref="CZ67:CZ76">
    <cfRule type="expression" dxfId="78" priority="12652">
      <formula>MOD(ROW(CQ48),2)=0</formula>
    </cfRule>
  </conditionalFormatting>
  <conditionalFormatting sqref="CY67:CY76">
    <cfRule type="expression" dxfId="77" priority="12654">
      <formula>MOD(ROW(CQ48),2)=0</formula>
    </cfRule>
  </conditionalFormatting>
  <conditionalFormatting sqref="CX67:CX76">
    <cfRule type="expression" dxfId="76" priority="12656">
      <formula>MOD(ROW(CQ48),2)=0</formula>
    </cfRule>
  </conditionalFormatting>
  <conditionalFormatting sqref="CW67:CW76">
    <cfRule type="expression" dxfId="75" priority="12658">
      <formula>MOD(ROW(CQ48),2)=0</formula>
    </cfRule>
  </conditionalFormatting>
  <conditionalFormatting sqref="DA67:DH76">
    <cfRule type="expression" dxfId="74" priority="12660">
      <formula>MOD(ROW(CQ48),2)=0</formula>
    </cfRule>
  </conditionalFormatting>
  <conditionalFormatting sqref="AT67:BF76 CO67:DH76 BJ67:BV76 BZ67:CL76 E67:AP76">
    <cfRule type="expression" dxfId="73" priority="12661">
      <formula>MOD(ROW(A48),2)=0</formula>
    </cfRule>
  </conditionalFormatting>
  <conditionalFormatting sqref="E50:AP58 CO50:DH58">
    <cfRule type="expression" dxfId="72" priority="2">
      <formula>MOD(ROW(A38),2)=0</formula>
    </cfRule>
  </conditionalFormatting>
  <conditionalFormatting sqref="CO50:CT58">
    <cfRule type="expression" dxfId="71" priority="3">
      <formula>MOD(ROW(CL38),2)=0</formula>
    </cfRule>
  </conditionalFormatting>
  <conditionalFormatting sqref="CV50:CV58">
    <cfRule type="expression" dxfId="70" priority="4">
      <formula>MOD(ROW(CQ38),2)=0</formula>
    </cfRule>
  </conditionalFormatting>
  <conditionalFormatting sqref="CZ50:CZ58">
    <cfRule type="expression" dxfId="69" priority="5">
      <formula>MOD(ROW(CQ38),2)=0</formula>
    </cfRule>
  </conditionalFormatting>
  <conditionalFormatting sqref="CY50:CY58">
    <cfRule type="expression" dxfId="68" priority="6">
      <formula>MOD(ROW(CQ38),2)=0</formula>
    </cfRule>
  </conditionalFormatting>
  <conditionalFormatting sqref="CX50:CX58">
    <cfRule type="expression" dxfId="67" priority="7">
      <formula>MOD(ROW(CQ38),2)=0</formula>
    </cfRule>
  </conditionalFormatting>
  <conditionalFormatting sqref="CW50:CW58">
    <cfRule type="expression" dxfId="66" priority="8">
      <formula>MOD(ROW(CQ38),2)=0</formula>
    </cfRule>
  </conditionalFormatting>
  <conditionalFormatting sqref="DA50:DH58">
    <cfRule type="expression" dxfId="65" priority="9">
      <formula>MOD(ROW(CQ38),2)=0</formula>
    </cfRule>
  </conditionalFormatting>
  <hyperlinks>
    <hyperlink ref="CO7:DH7" location="Projektteam!B11" tooltip="Team" display="Projektteam!B11" xr:uid="{00000000-0004-0000-1100-000000000000}"/>
    <hyperlink ref="A3" location="x!A571" display="x!A571" xr:uid="{00000000-0004-0000-1100-000001000000}"/>
  </hyperlinks>
  <pageMargins left="0.19685039370078741" right="0.19685039370078741" top="0.31496062992125984" bottom="0.23622047244094491" header="0" footer="0.19685039370078741"/>
  <pageSetup paperSize="9" scale="75" fitToWidth="2" fitToHeight="2" orientation="landscape" r:id="rId1"/>
  <headerFooter scaleWithDoc="0">
    <oddFooter>&amp;L&amp;8&amp;K01+049(c) s. imboden&amp;C&amp;8&amp;K01+049printed &amp;D&amp;R&amp;8&amp;K03+000&amp;P/&amp;N</oddFooter>
  </headerFooter>
  <rowBreaks count="2" manualBreakCount="2">
    <brk id="25" max="16383" man="1"/>
    <brk id="62" max="16383" man="1"/>
  </row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Konzept1">
    <tabColor theme="3" tint="0.59999389629810485"/>
    <pageSetUpPr fitToPage="1"/>
  </sheetPr>
  <dimension ref="A1:E55"/>
  <sheetViews>
    <sheetView showGridLines="0" showRowColHeaders="0" zoomScaleNormal="100" workbookViewId="0">
      <pane ySplit="1" topLeftCell="A2" activePane="bottomLeft" state="frozen"/>
      <selection activeCell="C28" sqref="C28"/>
      <selection pane="bottomLeft" activeCell="C14" sqref="C14:D14"/>
    </sheetView>
  </sheetViews>
  <sheetFormatPr baseColWidth="10" defaultColWidth="11.44140625" defaultRowHeight="14.4" x14ac:dyDescent="0.3"/>
  <cols>
    <col min="1" max="1" width="7" style="423" customWidth="1"/>
    <col min="2" max="2" width="4" style="62" customWidth="1"/>
    <col min="3" max="3" width="3.109375" style="62" customWidth="1"/>
    <col min="4" max="4" width="89.5546875" style="62" customWidth="1"/>
    <col min="5" max="5" width="18.109375" style="62" customWidth="1"/>
    <col min="6" max="6" width="22.109375" style="62" customWidth="1"/>
    <col min="7" max="7" width="3.109375" style="62" customWidth="1"/>
    <col min="8" max="8" width="22" style="62" customWidth="1"/>
    <col min="9" max="9" width="3.109375" style="62" customWidth="1"/>
    <col min="10" max="10" width="22" style="62" customWidth="1"/>
    <col min="11" max="11" width="3.109375" style="62" customWidth="1"/>
    <col min="12" max="12" width="64.44140625" style="62" customWidth="1"/>
    <col min="13" max="13" width="11.44140625" style="62"/>
    <col min="14" max="14" width="4.5546875" style="62" customWidth="1"/>
    <col min="15" max="16384" width="11.44140625" style="62"/>
  </cols>
  <sheetData>
    <row r="1" spans="2:4" s="1" customFormat="1" ht="45" customHeight="1" x14ac:dyDescent="0.6">
      <c r="B1" s="353"/>
      <c r="C1" s="389" t="str">
        <f ca="1">' '!A224</f>
        <v>C O N C E P T   S O M M A I R E</v>
      </c>
      <c r="D1" s="353"/>
    </row>
    <row r="2" spans="2:4" ht="21.75" customHeight="1" x14ac:dyDescent="0.3">
      <c r="C2" s="627"/>
    </row>
    <row r="3" spans="2:4" ht="18" customHeight="1" x14ac:dyDescent="0.3">
      <c r="B3" s="802"/>
    </row>
    <row r="4" spans="2:4" ht="25.8" x14ac:dyDescent="0.5">
      <c r="B4" s="802"/>
      <c r="C4" s="803" t="str">
        <f ca="1">' '!A225</f>
        <v>Table des matières</v>
      </c>
    </row>
    <row r="5" spans="2:4" x14ac:dyDescent="0.3">
      <c r="B5" s="802"/>
      <c r="C5" s="62">
        <v>1</v>
      </c>
      <c r="D5" s="62" t="str">
        <f ca="1">' '!A226</f>
        <v>Management Summary</v>
      </c>
    </row>
    <row r="6" spans="2:4" x14ac:dyDescent="0.3">
      <c r="B6" s="802"/>
      <c r="C6" s="62">
        <v>2</v>
      </c>
      <c r="D6" s="62" t="str">
        <f ca="1">' '!A227</f>
        <v>Situation de départ</v>
      </c>
    </row>
    <row r="7" spans="2:4" x14ac:dyDescent="0.3">
      <c r="B7" s="802"/>
      <c r="C7" s="62">
        <v>3</v>
      </c>
      <c r="D7" s="62" t="str">
        <f ca="1">' '!A228</f>
        <v>Organisation du projet et jalons</v>
      </c>
    </row>
    <row r="8" spans="2:4" x14ac:dyDescent="0.3">
      <c r="B8" s="802"/>
      <c r="C8" s="62">
        <v>4</v>
      </c>
      <c r="D8" s="62" t="str">
        <f ca="1">' '!A229</f>
        <v>Budget sommaire</v>
      </c>
    </row>
    <row r="9" spans="2:4" x14ac:dyDescent="0.3">
      <c r="B9" s="802"/>
      <c r="C9" s="62">
        <v>5</v>
      </c>
      <c r="D9" s="62" t="str">
        <f ca="1">' '!A230</f>
        <v>Solutions possibles</v>
      </c>
    </row>
    <row r="10" spans="2:4" x14ac:dyDescent="0.3">
      <c r="B10" s="802"/>
      <c r="C10" s="62">
        <v>6</v>
      </c>
      <c r="D10" s="62" t="str">
        <f ca="1">' '!A231</f>
        <v>Suite</v>
      </c>
    </row>
    <row r="11" spans="2:4" x14ac:dyDescent="0.3">
      <c r="B11" s="802"/>
      <c r="C11" s="62">
        <v>7</v>
      </c>
      <c r="D11" s="62" t="str">
        <f ca="1">' '!A232</f>
        <v>Annexes</v>
      </c>
    </row>
    <row r="12" spans="2:4" x14ac:dyDescent="0.3">
      <c r="B12" s="802"/>
    </row>
    <row r="13" spans="2:4" x14ac:dyDescent="0.3">
      <c r="B13" s="802"/>
    </row>
    <row r="14" spans="2:4" x14ac:dyDescent="0.3">
      <c r="B14" s="802"/>
      <c r="C14" s="1113" t="str">
        <f ca="1">' '!A272</f>
        <v xml:space="preserve">Insérer ici, avec le bouton droit de la souris, le lien vers le document </v>
      </c>
      <c r="D14" s="1113"/>
    </row>
    <row r="15" spans="2:4" ht="18.75" customHeight="1" x14ac:dyDescent="0.3">
      <c r="B15" s="802"/>
    </row>
    <row r="16" spans="2:4" ht="18" x14ac:dyDescent="0.35">
      <c r="B16" s="802"/>
      <c r="C16" s="804">
        <v>1</v>
      </c>
      <c r="D16" s="805" t="str">
        <f ca="1">' '!A234</f>
        <v>Management Summary</v>
      </c>
    </row>
    <row r="17" spans="3:5" x14ac:dyDescent="0.3">
      <c r="C17" s="3"/>
      <c r="D17" s="62" t="str">
        <f ca="1">' '!A235</f>
        <v>Résumer l’essentiel sur max. une demi-page :</v>
      </c>
    </row>
    <row r="18" spans="3:5" x14ac:dyDescent="0.3">
      <c r="C18" s="3"/>
      <c r="D18" s="806" t="str">
        <f ca="1">' '!A236</f>
        <v>Situation de départ et données du problème ?</v>
      </c>
    </row>
    <row r="19" spans="3:5" x14ac:dyDescent="0.3">
      <c r="C19" s="3"/>
      <c r="D19" s="806" t="str">
        <f ca="1">' '!A237</f>
        <v>Objectifs du projet ?</v>
      </c>
    </row>
    <row r="20" spans="3:5" x14ac:dyDescent="0.3">
      <c r="C20" s="3"/>
      <c r="D20" s="806" t="str">
        <f ca="1">' '!A238</f>
        <v>Résultats attendus ?</v>
      </c>
    </row>
    <row r="21" spans="3:5" x14ac:dyDescent="0.3">
      <c r="C21" s="3"/>
      <c r="D21" s="806" t="str">
        <f ca="1">' '!A239</f>
        <v>Proposition d'une solution ?</v>
      </c>
    </row>
    <row r="22" spans="3:5" x14ac:dyDescent="0.3">
      <c r="C22" s="3"/>
      <c r="D22" s="806" t="str">
        <f ca="1">' '!A240</f>
        <v>Quelles sont les décisions à prendre par le mandant et jusqu'à quand ?</v>
      </c>
    </row>
    <row r="23" spans="3:5" x14ac:dyDescent="0.3">
      <c r="C23" s="3"/>
    </row>
    <row r="24" spans="3:5" ht="18" x14ac:dyDescent="0.35">
      <c r="C24" s="804">
        <v>2</v>
      </c>
      <c r="D24" s="805" t="str">
        <f ca="1">' '!A242</f>
        <v>Situation de départ</v>
      </c>
      <c r="E24" s="807"/>
    </row>
    <row r="25" spans="3:5" x14ac:dyDescent="0.3">
      <c r="C25" s="3"/>
      <c r="D25" s="62" t="str">
        <f ca="1">' '!A243</f>
        <v>Qui est le mandant ?</v>
      </c>
      <c r="E25" s="808"/>
    </row>
    <row r="26" spans="3:5" x14ac:dyDescent="0.3">
      <c r="C26" s="3"/>
      <c r="D26" s="62" t="str">
        <f ca="1">' '!A244</f>
        <v>Brève description de la problématique.</v>
      </c>
      <c r="E26" s="808"/>
    </row>
    <row r="27" spans="3:5" x14ac:dyDescent="0.3">
      <c r="C27" s="3"/>
      <c r="D27" s="62" t="str">
        <f ca="1">' '!A245</f>
        <v>Quels sont les objectifs du projet ?</v>
      </c>
      <c r="E27" s="808"/>
    </row>
    <row r="28" spans="3:5" x14ac:dyDescent="0.3">
      <c r="C28" s="3"/>
      <c r="D28" s="62" t="str">
        <f ca="1">' '!A246</f>
        <v>Quels sont les résultats attendus (les délivrables) ?</v>
      </c>
      <c r="E28" s="808"/>
    </row>
    <row r="29" spans="3:5" x14ac:dyDescent="0.3">
      <c r="C29" s="3"/>
      <c r="D29" s="62" t="str">
        <f ca="1">' '!A247</f>
        <v xml:space="preserve">Quels sont les facteurs de succès ? </v>
      </c>
      <c r="E29" s="808"/>
    </row>
    <row r="30" spans="3:5" x14ac:dyDescent="0.3">
      <c r="C30" s="3"/>
      <c r="D30" s="62" t="str">
        <f ca="1">' '!A248</f>
        <v>Quels sont les risques ?</v>
      </c>
      <c r="E30" s="808"/>
    </row>
    <row r="31" spans="3:5" x14ac:dyDescent="0.3">
      <c r="C31" s="3"/>
    </row>
    <row r="32" spans="3:5" ht="18" x14ac:dyDescent="0.35">
      <c r="C32" s="804">
        <v>3</v>
      </c>
      <c r="D32" s="805" t="str">
        <f ca="1">' '!A250</f>
        <v>Organisation du projet et jalons</v>
      </c>
      <c r="E32" s="807"/>
    </row>
    <row r="33" spans="3:5" ht="18" x14ac:dyDescent="0.3">
      <c r="C33" s="804"/>
      <c r="D33" s="62" t="str">
        <f ca="1">' '!A251</f>
        <v>Organigramme du projet ?</v>
      </c>
      <c r="E33" s="808"/>
    </row>
    <row r="34" spans="3:5" ht="18" x14ac:dyDescent="0.3">
      <c r="C34" s="804"/>
      <c r="D34" s="62" t="str">
        <f ca="1">' '!A252</f>
        <v>Qui collabore au projet ? Qui assume quelles responsabilités et quelles compétences ?</v>
      </c>
      <c r="E34" s="808"/>
    </row>
    <row r="35" spans="3:5" ht="18" x14ac:dyDescent="0.3">
      <c r="C35" s="804"/>
      <c r="D35" s="62" t="str">
        <f ca="1">' '!A253</f>
        <v>Quels sont les jalons ?</v>
      </c>
      <c r="E35" s="808"/>
    </row>
    <row r="36" spans="3:5" ht="18" x14ac:dyDescent="0.3">
      <c r="C36" s="804"/>
      <c r="D36" s="62" t="str">
        <f ca="1">' '!A254</f>
        <v>Quelle est la planification sommaire ?</v>
      </c>
      <c r="E36" s="808"/>
    </row>
    <row r="37" spans="3:5" ht="18" x14ac:dyDescent="0.3">
      <c r="C37" s="804"/>
      <c r="D37" s="62" t="str">
        <f ca="1">' '!A255</f>
        <v>Quelle est la stratégie d’information/de communication relative au projet ?</v>
      </c>
      <c r="E37" s="808"/>
    </row>
    <row r="38" spans="3:5" ht="18" x14ac:dyDescent="0.3">
      <c r="C38" s="804"/>
      <c r="E38" s="808"/>
    </row>
    <row r="39" spans="3:5" ht="18" x14ac:dyDescent="0.35">
      <c r="C39" s="804">
        <v>4</v>
      </c>
      <c r="D39" s="805" t="str">
        <f ca="1">' '!A257</f>
        <v>Budget sommaire</v>
      </c>
      <c r="E39" s="807"/>
    </row>
    <row r="40" spans="3:5" ht="18" x14ac:dyDescent="0.3">
      <c r="C40" s="804"/>
      <c r="D40" s="62" t="str">
        <f ca="1">' '!A258</f>
        <v>Ressources internes (nombre de demi-journées / éventuellement en montants en francs) ?</v>
      </c>
      <c r="E40" s="808"/>
    </row>
    <row r="41" spans="3:5" ht="18" x14ac:dyDescent="0.3">
      <c r="C41" s="804"/>
      <c r="D41" s="62" t="str">
        <f ca="1">' '!A259</f>
        <v>Coûts externes ?</v>
      </c>
      <c r="E41" s="808"/>
    </row>
    <row r="42" spans="3:5" ht="18" x14ac:dyDescent="0.3">
      <c r="C42" s="804"/>
      <c r="E42" s="808"/>
    </row>
    <row r="43" spans="3:5" ht="18" x14ac:dyDescent="0.35">
      <c r="C43" s="804">
        <v>5</v>
      </c>
      <c r="D43" s="805" t="str">
        <f ca="1">' '!A261</f>
        <v>Solutions possibles</v>
      </c>
      <c r="E43" s="807"/>
    </row>
    <row r="44" spans="3:5" ht="18" x14ac:dyDescent="0.3">
      <c r="C44" s="804"/>
      <c r="D44" s="62" t="str">
        <f ca="1">' '!A262</f>
        <v>Proposer différentes solutions.</v>
      </c>
      <c r="E44" s="808"/>
    </row>
    <row r="45" spans="3:5" ht="18" x14ac:dyDescent="0.3">
      <c r="C45" s="804"/>
      <c r="D45" s="62" t="str">
        <f ca="1">' '!A263</f>
        <v>Evaluation des solutions (avantages et inconvénients) ?</v>
      </c>
      <c r="E45" s="808"/>
    </row>
    <row r="46" spans="3:5" ht="18" x14ac:dyDescent="0.3">
      <c r="C46" s="804"/>
      <c r="D46" s="62" t="str">
        <f ca="1">' '!A264</f>
        <v>Proposition d’une solution.</v>
      </c>
      <c r="E46" s="808"/>
    </row>
    <row r="47" spans="3:5" ht="18" x14ac:dyDescent="0.3">
      <c r="C47" s="804"/>
      <c r="E47" s="808"/>
    </row>
    <row r="48" spans="3:5" ht="18" x14ac:dyDescent="0.35">
      <c r="C48" s="804">
        <v>6</v>
      </c>
      <c r="D48" s="805" t="str">
        <f ca="1">' '!A266</f>
        <v>Suite</v>
      </c>
      <c r="E48" s="807"/>
    </row>
    <row r="49" spans="3:5" ht="18" x14ac:dyDescent="0.3">
      <c r="C49" s="804"/>
      <c r="D49" s="62" t="str">
        <f ca="1">' '!A267</f>
        <v>Quelle est la suite du projet ? Proposition ?</v>
      </c>
      <c r="E49" s="808"/>
    </row>
    <row r="50" spans="3:5" ht="18" x14ac:dyDescent="0.3">
      <c r="C50" s="804"/>
      <c r="D50" s="62" t="str">
        <f ca="1">' '!A268</f>
        <v>Quelles décisions doivent être prises pour quelle date ?</v>
      </c>
      <c r="E50" s="808"/>
    </row>
    <row r="51" spans="3:5" ht="18" x14ac:dyDescent="0.3">
      <c r="C51" s="804"/>
      <c r="E51" s="808"/>
    </row>
    <row r="52" spans="3:5" ht="18" x14ac:dyDescent="0.35">
      <c r="C52" s="804">
        <v>7</v>
      </c>
      <c r="D52" s="805" t="str">
        <f ca="1">' '!A270</f>
        <v>Annexes</v>
      </c>
      <c r="E52" s="807"/>
    </row>
    <row r="53" spans="3:5" ht="18" x14ac:dyDescent="0.3">
      <c r="C53" s="807"/>
      <c r="D53" s="62" t="str">
        <f ca="1">' '!A271</f>
        <v>Au moins : mandat de projet, plan sommaire, équipe de projet, budget sommaire.</v>
      </c>
      <c r="E53" s="808"/>
    </row>
    <row r="54" spans="3:5" ht="10.5" customHeight="1" x14ac:dyDescent="0.3"/>
    <row r="55" spans="3:5" x14ac:dyDescent="0.3">
      <c r="C55" s="520" t="s">
        <v>1705</v>
      </c>
    </row>
  </sheetData>
  <sheetProtection sheet="1" objects="1" scenarios="1" formatCells="0" formatColumns="0" formatRows="0" insertHyperlinks="0" selectLockedCells="1" sort="0" autoFilter="0"/>
  <mergeCells count="1">
    <mergeCell ref="C14:D14"/>
  </mergeCells>
  <pageMargins left="0.19685039370078741" right="0.19685039370078741" top="0.31496062992125984" bottom="0.43307086614173229" header="0" footer="0.19685039370078741"/>
  <pageSetup paperSize="9" scale="86" orientation="portrait" r:id="rId1"/>
  <headerFooter scaleWithDoc="0">
    <oddFooter>&amp;L&amp;8&amp;K01+049(c) s. imboden&amp;C&amp;8&amp;K01+049printed &amp;D&amp;R&amp;8&amp;K03+000&amp;P/&amp;N</oddFooter>
  </headerFooter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Konzept">
    <tabColor theme="3" tint="0.59999389629810485"/>
    <pageSetUpPr fitToPage="1"/>
  </sheetPr>
  <dimension ref="A1:D69"/>
  <sheetViews>
    <sheetView showGridLines="0" showRowColHeaders="0" zoomScaleNormal="100" workbookViewId="0">
      <pane ySplit="1" topLeftCell="A2" activePane="bottomLeft" state="frozen"/>
      <selection activeCell="C28" sqref="C28"/>
      <selection pane="bottomLeft" activeCell="C16" sqref="C16:D16"/>
    </sheetView>
  </sheetViews>
  <sheetFormatPr baseColWidth="10" defaultColWidth="11.44140625" defaultRowHeight="14.4" x14ac:dyDescent="0.3"/>
  <cols>
    <col min="1" max="1" width="7" style="423" customWidth="1"/>
    <col min="2" max="2" width="4" style="62" customWidth="1"/>
    <col min="3" max="3" width="3.109375" style="62" customWidth="1"/>
    <col min="4" max="4" width="89.109375" style="62" customWidth="1"/>
    <col min="5" max="5" width="17.88671875" style="62" customWidth="1"/>
    <col min="6" max="6" width="22.109375" style="62" customWidth="1"/>
    <col min="7" max="7" width="22" style="62" customWidth="1"/>
    <col min="8" max="8" width="3.109375" style="62" customWidth="1"/>
    <col min="9" max="9" width="22" style="62" customWidth="1"/>
    <col min="10" max="10" width="3.109375" style="62" customWidth="1"/>
    <col min="11" max="11" width="64.44140625" style="62" customWidth="1"/>
    <col min="12" max="12" width="11.44140625" style="62"/>
    <col min="13" max="13" width="4.5546875" style="62" customWidth="1"/>
    <col min="14" max="16384" width="11.44140625" style="62"/>
  </cols>
  <sheetData>
    <row r="1" spans="2:4" s="1" customFormat="1" ht="45" customHeight="1" x14ac:dyDescent="0.6">
      <c r="B1" s="353"/>
      <c r="C1" s="389" t="str">
        <f ca="1">' '!A273</f>
        <v>C O N C E P T  D É T A I L L É</v>
      </c>
      <c r="D1" s="353"/>
    </row>
    <row r="2" spans="2:4" ht="21.75" customHeight="1" x14ac:dyDescent="0.3">
      <c r="C2" s="401"/>
    </row>
    <row r="3" spans="2:4" ht="18" customHeight="1" x14ac:dyDescent="0.3"/>
    <row r="4" spans="2:4" ht="25.8" x14ac:dyDescent="0.5">
      <c r="C4" s="803" t="str">
        <f ca="1">' '!A225</f>
        <v>Table des matières</v>
      </c>
      <c r="D4" s="803"/>
    </row>
    <row r="5" spans="2:4" ht="15" customHeight="1" x14ac:dyDescent="0.3">
      <c r="C5" s="62">
        <v>1</v>
      </c>
      <c r="D5" s="62" t="str">
        <f ca="1">' '!A274</f>
        <v>Management Summary</v>
      </c>
    </row>
    <row r="6" spans="2:4" ht="15" customHeight="1" x14ac:dyDescent="0.3">
      <c r="C6" s="62">
        <v>2</v>
      </c>
      <c r="D6" s="62" t="str">
        <f ca="1">' '!A275</f>
        <v>Situation de départ</v>
      </c>
    </row>
    <row r="7" spans="2:4" ht="15" customHeight="1" x14ac:dyDescent="0.3">
      <c r="C7" s="62">
        <v>3</v>
      </c>
      <c r="D7" s="62" t="str">
        <f ca="1">' '!A276</f>
        <v>Organisation et planification</v>
      </c>
    </row>
    <row r="8" spans="2:4" ht="15" customHeight="1" x14ac:dyDescent="0.3">
      <c r="C8" s="62">
        <v>4</v>
      </c>
      <c r="D8" s="62" t="str">
        <f ca="1">' '!A277</f>
        <v>Ressources</v>
      </c>
    </row>
    <row r="9" spans="2:4" ht="15" customHeight="1" x14ac:dyDescent="0.3">
      <c r="C9" s="62">
        <v>5</v>
      </c>
      <c r="D9" s="62" t="str">
        <f ca="1">' '!A278</f>
        <v>Mise en pratique</v>
      </c>
    </row>
    <row r="10" spans="2:4" ht="15" customHeight="1" x14ac:dyDescent="0.3">
      <c r="C10" s="62">
        <v>6</v>
      </c>
      <c r="D10" s="62" t="str">
        <f ca="1">' '!A279</f>
        <v>Facteurs de succès et risques</v>
      </c>
    </row>
    <row r="11" spans="2:4" ht="15" customHeight="1" x14ac:dyDescent="0.3">
      <c r="C11" s="62">
        <v>7</v>
      </c>
      <c r="D11" s="62" t="str">
        <f ca="1">' '!A280</f>
        <v>Assurance de la qualité et controlling</v>
      </c>
    </row>
    <row r="12" spans="2:4" ht="15" customHeight="1" x14ac:dyDescent="0.3">
      <c r="C12" s="62">
        <v>8</v>
      </c>
      <c r="D12" s="62" t="str">
        <f ca="1">' '!A281</f>
        <v>Conclusions</v>
      </c>
    </row>
    <row r="13" spans="2:4" ht="15" customHeight="1" x14ac:dyDescent="0.3">
      <c r="C13" s="62">
        <v>9</v>
      </c>
      <c r="D13" s="62" t="str">
        <f ca="1">' '!A282</f>
        <v>Annexes</v>
      </c>
    </row>
    <row r="14" spans="2:4" ht="12.75" customHeight="1" x14ac:dyDescent="0.3"/>
    <row r="15" spans="2:4" ht="15" customHeight="1" x14ac:dyDescent="0.3"/>
    <row r="16" spans="2:4" ht="15" customHeight="1" x14ac:dyDescent="0.3">
      <c r="C16" s="1113" t="str">
        <f ca="1">' '!A272</f>
        <v xml:space="preserve">Insérer ici, avec le bouton droit de la souris, le lien vers le document </v>
      </c>
      <c r="D16" s="1113"/>
    </row>
    <row r="17" spans="3:4" ht="14.25" customHeight="1" x14ac:dyDescent="0.3"/>
    <row r="18" spans="3:4" ht="14.25" customHeight="1" x14ac:dyDescent="0.3"/>
    <row r="19" spans="3:4" ht="18" x14ac:dyDescent="0.35">
      <c r="C19" s="804">
        <v>1</v>
      </c>
      <c r="D19" s="805" t="str">
        <f ca="1">' '!A284</f>
        <v>Management Summary</v>
      </c>
    </row>
    <row r="20" spans="3:4" ht="15" customHeight="1" x14ac:dyDescent="0.3">
      <c r="D20" s="62" t="str">
        <f ca="1">' '!A285</f>
        <v>Résumer l’essentiel sur max. une page :</v>
      </c>
    </row>
    <row r="21" spans="3:4" ht="15" customHeight="1" x14ac:dyDescent="0.3">
      <c r="C21" s="804"/>
      <c r="D21" s="806" t="str">
        <f ca="1">' '!A286</f>
        <v>Situation de départ et données du problème ?</v>
      </c>
    </row>
    <row r="22" spans="3:4" ht="15" customHeight="1" x14ac:dyDescent="0.3">
      <c r="C22" s="3"/>
      <c r="D22" s="806" t="str">
        <f ca="1">' '!A287</f>
        <v>Objectifs du projet ?</v>
      </c>
    </row>
    <row r="23" spans="3:4" ht="15" customHeight="1" x14ac:dyDescent="0.3">
      <c r="C23" s="3"/>
      <c r="D23" s="806" t="str">
        <f ca="1">' '!A288</f>
        <v>Jalons ?</v>
      </c>
    </row>
    <row r="24" spans="3:4" ht="15" customHeight="1" x14ac:dyDescent="0.3">
      <c r="C24" s="3"/>
      <c r="D24" s="806" t="str">
        <f ca="1">' '!A289</f>
        <v>Démarche ?</v>
      </c>
    </row>
    <row r="25" spans="3:4" ht="15" customHeight="1" x14ac:dyDescent="0.3">
      <c r="C25" s="3"/>
      <c r="D25" s="806" t="str">
        <f ca="1">' '!A290</f>
        <v>Résultats/solutions ?</v>
      </c>
    </row>
    <row r="26" spans="3:4" ht="15" customHeight="1" x14ac:dyDescent="0.3">
      <c r="C26" s="3"/>
      <c r="D26" s="806" t="str">
        <f ca="1">' '!A291</f>
        <v>Que doit décider le mandant sur la base de ce concept (par ex. Go/No Go) ?</v>
      </c>
    </row>
    <row r="27" spans="3:4" ht="15" customHeight="1" x14ac:dyDescent="0.3">
      <c r="C27" s="3"/>
      <c r="D27" s="806"/>
    </row>
    <row r="28" spans="3:4" ht="18" x14ac:dyDescent="0.35">
      <c r="C28" s="804">
        <v>2</v>
      </c>
      <c r="D28" s="805" t="str">
        <f ca="1">' '!A293</f>
        <v>Situation de départ</v>
      </c>
    </row>
    <row r="29" spans="3:4" ht="15" customHeight="1" x14ac:dyDescent="0.3">
      <c r="C29" s="804"/>
      <c r="D29" s="62" t="str">
        <f ca="1">' '!A294</f>
        <v>Qui est le mandant ?</v>
      </c>
    </row>
    <row r="30" spans="3:4" ht="15" customHeight="1" x14ac:dyDescent="0.3">
      <c r="C30" s="3"/>
      <c r="D30" s="62" t="str">
        <f ca="1">' '!A295</f>
        <v>Brève description de la problématique.</v>
      </c>
    </row>
    <row r="31" spans="3:4" ht="15" customHeight="1" x14ac:dyDescent="0.3">
      <c r="C31" s="3"/>
      <c r="D31" s="62" t="str">
        <f ca="1">' '!A296</f>
        <v>Quels sont les objectifs du projet ?</v>
      </c>
    </row>
    <row r="32" spans="3:4" ht="15" customHeight="1" x14ac:dyDescent="0.3">
      <c r="C32" s="3"/>
      <c r="D32" s="62" t="str">
        <f ca="1">' '!A297</f>
        <v>Quels sont les résultats attendus (les délivrables) ?</v>
      </c>
    </row>
    <row r="33" spans="3:4" ht="15" customHeight="1" x14ac:dyDescent="0.3">
      <c r="C33" s="3"/>
      <c r="D33" s="62" t="str">
        <f ca="1">' '!A298</f>
        <v>Qu’est-ce qui a été fait jusqu'à maintenant ? Etat actuel ? Problèmes ?</v>
      </c>
    </row>
    <row r="34" spans="3:4" ht="15" customHeight="1" x14ac:dyDescent="0.3">
      <c r="C34" s="3"/>
    </row>
    <row r="35" spans="3:4" ht="18" x14ac:dyDescent="0.35">
      <c r="C35" s="804">
        <v>3</v>
      </c>
      <c r="D35" s="805" t="str">
        <f ca="1">' '!A300</f>
        <v>Organisation et planification</v>
      </c>
    </row>
    <row r="36" spans="3:4" ht="15" customHeight="1" x14ac:dyDescent="0.3">
      <c r="C36" s="3"/>
      <c r="D36" s="62" t="str">
        <f ca="1">' '!A301</f>
        <v>Organigramme du projet ? Partenaires du projet ?</v>
      </c>
    </row>
    <row r="37" spans="3:4" ht="15" customHeight="1" x14ac:dyDescent="0.3">
      <c r="C37" s="804"/>
      <c r="D37" s="62" t="str">
        <f ca="1">' '!A302</f>
        <v>Qui collabore au projet ? Qui assume quelles responsabilités et quelles compétences ?</v>
      </c>
    </row>
    <row r="38" spans="3:4" ht="15" customHeight="1" x14ac:dyDescent="0.3">
      <c r="C38" s="804"/>
      <c r="D38" s="62" t="str">
        <f ca="1">' '!A303</f>
        <v>Quels sont les jalons ?</v>
      </c>
    </row>
    <row r="39" spans="3:4" ht="15" customHeight="1" x14ac:dyDescent="0.3">
      <c r="C39" s="804"/>
      <c r="D39" s="62" t="str">
        <f ca="1">' '!A304</f>
        <v>Quelle est la planification détaillée ?  Qui fait quoi ? Quand ?</v>
      </c>
    </row>
    <row r="40" spans="3:4" ht="15" customHeight="1" x14ac:dyDescent="0.3">
      <c r="C40" s="804"/>
      <c r="D40" s="62" t="str">
        <f ca="1">' '!A305</f>
        <v>Quelle est la stratégie d’information/de communication relative au projet ?</v>
      </c>
    </row>
    <row r="41" spans="3:4" ht="15" customHeight="1" x14ac:dyDescent="0.3">
      <c r="C41" s="804"/>
    </row>
    <row r="42" spans="3:4" ht="18" x14ac:dyDescent="0.35">
      <c r="C42" s="804">
        <v>4</v>
      </c>
      <c r="D42" s="805" t="str">
        <f ca="1">' '!A307</f>
        <v>Ressources</v>
      </c>
    </row>
    <row r="43" spans="3:4" ht="15" customHeight="1" x14ac:dyDescent="0.3">
      <c r="C43" s="804"/>
      <c r="D43" s="62" t="str">
        <f ca="1">' '!A308</f>
        <v>Budget ?</v>
      </c>
    </row>
    <row r="44" spans="3:4" ht="15" customHeight="1" x14ac:dyDescent="0.3">
      <c r="C44" s="804"/>
      <c r="D44" s="62" t="str">
        <f ca="1">' '!A309</f>
        <v>Ressources internes ?</v>
      </c>
    </row>
    <row r="45" spans="3:4" ht="15" customHeight="1" x14ac:dyDescent="0.3">
      <c r="C45" s="804"/>
      <c r="D45" s="62" t="str">
        <f ca="1">' '!A310</f>
        <v>Ressources externes ?</v>
      </c>
    </row>
    <row r="46" spans="3:4" ht="15" customHeight="1" x14ac:dyDescent="0.3">
      <c r="C46" s="804"/>
    </row>
    <row r="47" spans="3:4" ht="18" x14ac:dyDescent="0.35">
      <c r="C47" s="804">
        <v>5</v>
      </c>
      <c r="D47" s="805" t="str">
        <f ca="1">' '!A312</f>
        <v>Mise en pratique</v>
      </c>
    </row>
    <row r="48" spans="3:4" ht="15" customHeight="1" x14ac:dyDescent="0.3">
      <c r="C48" s="804"/>
      <c r="D48" s="62" t="str">
        <f ca="1">' '!A313</f>
        <v>(Base = solution proposée dans le concept sommaire)</v>
      </c>
    </row>
    <row r="49" spans="2:4" ht="15" customHeight="1" x14ac:dyDescent="0.3">
      <c r="C49" s="804"/>
      <c r="D49" s="62" t="str">
        <f ca="1">' '!A314</f>
        <v>Quelle est la démarche prévue ?</v>
      </c>
    </row>
    <row r="50" spans="2:4" ht="15" customHeight="1" x14ac:dyDescent="0.3">
      <c r="C50" s="804"/>
      <c r="D50" s="62" t="str">
        <f ca="1">' '!A315</f>
        <v>Comment est-elle mise en pratique ?</v>
      </c>
    </row>
    <row r="51" spans="2:4" ht="15" customHeight="1" x14ac:dyDescent="0.3">
      <c r="C51" s="804"/>
    </row>
    <row r="52" spans="2:4" ht="18" x14ac:dyDescent="0.35">
      <c r="C52" s="804">
        <v>6</v>
      </c>
      <c r="D52" s="805" t="str">
        <f ca="1">' '!A317</f>
        <v>Facteurs de succès et risques</v>
      </c>
    </row>
    <row r="53" spans="2:4" ht="15" customHeight="1" x14ac:dyDescent="0.3">
      <c r="C53" s="804"/>
      <c r="D53" s="62" t="str">
        <f ca="1">' '!A318</f>
        <v xml:space="preserve">Quels sont les facteurs de succès ? </v>
      </c>
    </row>
    <row r="54" spans="2:4" ht="15" customHeight="1" x14ac:dyDescent="0.3">
      <c r="C54" s="804"/>
      <c r="D54" s="62" t="str">
        <f ca="1">' '!A319</f>
        <v>Quels sont les risques ?</v>
      </c>
    </row>
    <row r="55" spans="2:4" ht="15" customHeight="1" x14ac:dyDescent="0.3">
      <c r="C55" s="804"/>
      <c r="D55" s="62" t="str">
        <f ca="1">' '!A320</f>
        <v>Quelles sont les mesures à prendre pour minimiser les risques ?</v>
      </c>
    </row>
    <row r="56" spans="2:4" ht="15" customHeight="1" x14ac:dyDescent="0.3">
      <c r="B56" s="809"/>
      <c r="C56" s="807"/>
    </row>
    <row r="57" spans="2:4" ht="18" x14ac:dyDescent="0.35">
      <c r="C57" s="804">
        <v>7</v>
      </c>
      <c r="D57" s="805" t="str">
        <f ca="1">' '!A322</f>
        <v>Assurance de la qualité et controlling</v>
      </c>
    </row>
    <row r="58" spans="2:4" ht="15" customHeight="1" x14ac:dyDescent="0.3">
      <c r="D58" s="62" t="str">
        <f ca="1">' '!A323</f>
        <v>Comment l’assurance de la qualité est-celle mise en œuvre ?</v>
      </c>
    </row>
    <row r="59" spans="2:4" ht="15" customHeight="1" x14ac:dyDescent="0.3">
      <c r="D59" s="62" t="str">
        <f ca="1">' '!A324</f>
        <v>Quelle forme le controlling prend-il ?</v>
      </c>
    </row>
    <row r="60" spans="2:4" ht="15" customHeight="1" x14ac:dyDescent="0.3">
      <c r="D60" s="62" t="str">
        <f ca="1">' '!A325</f>
        <v>Qui doit prendre quelles décisions pour quand ?</v>
      </c>
    </row>
    <row r="61" spans="2:4" ht="15" customHeight="1" x14ac:dyDescent="0.3"/>
    <row r="62" spans="2:4" ht="18" x14ac:dyDescent="0.35">
      <c r="C62" s="804">
        <v>8</v>
      </c>
      <c r="D62" s="805" t="str">
        <f ca="1">' '!A327</f>
        <v>Conclusions</v>
      </c>
    </row>
    <row r="63" spans="2:4" ht="15" customHeight="1" x14ac:dyDescent="0.3">
      <c r="D63" s="62" t="str">
        <f ca="1">' '!A328</f>
        <v>Quelles conclusions peuvent être tirées ?</v>
      </c>
    </row>
    <row r="64" spans="2:4" ht="15" customHeight="1" x14ac:dyDescent="0.3">
      <c r="D64" s="62" t="str">
        <f ca="1">' '!A329</f>
        <v>Commentaires personnels ?</v>
      </c>
    </row>
    <row r="65" spans="3:4" ht="15" customHeight="1" x14ac:dyDescent="0.3"/>
    <row r="66" spans="3:4" ht="18" x14ac:dyDescent="0.35">
      <c r="C66" s="804">
        <v>9</v>
      </c>
      <c r="D66" s="805" t="str">
        <f ca="1">' '!A331</f>
        <v>Annexes</v>
      </c>
    </row>
    <row r="67" spans="3:4" ht="15" customHeight="1" x14ac:dyDescent="0.3">
      <c r="D67" s="62" t="str">
        <f ca="1">' '!A332</f>
        <v>Au moins : mandat de projet, plan détaillé, équipe de projet, budget, état du projet.</v>
      </c>
    </row>
    <row r="68" spans="3:4" ht="15" customHeight="1" x14ac:dyDescent="0.3"/>
    <row r="69" spans="3:4" ht="15" customHeight="1" x14ac:dyDescent="0.3">
      <c r="C69" s="520" t="s">
        <v>1705</v>
      </c>
    </row>
  </sheetData>
  <sheetProtection sheet="1" objects="1" scenarios="1" formatCells="0" formatColumns="0" formatRows="0" insertHyperlinks="0" selectLockedCells="1" sort="0" autoFilter="0"/>
  <mergeCells count="1">
    <mergeCell ref="C16:D16"/>
  </mergeCells>
  <pageMargins left="0.19685039370078741" right="0.19685039370078741" top="0.31496062992125984" bottom="0.43307086614173229" header="0" footer="0.19685039370078741"/>
  <pageSetup paperSize="9" fitToWidth="2" fitToHeight="2" orientation="portrait" r:id="rId1"/>
  <headerFooter scaleWithDoc="0">
    <oddFooter>&amp;L&amp;8&amp;K01+049(c) s. imboden&amp;C&amp;8&amp;K01+049printed &amp;D&amp;R&amp;8&amp;K03+000&amp;P/&amp;N</oddFooter>
  </headerFooter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">
    <tabColor theme="4" tint="0.59999389629810485"/>
  </sheetPr>
  <dimension ref="A1:Q90"/>
  <sheetViews>
    <sheetView showGridLines="0" showRowColHeaders="0" zoomScaleNormal="100" workbookViewId="0">
      <pane ySplit="5" topLeftCell="A6" activePane="bottomLeft" state="frozen"/>
      <selection activeCell="C28" sqref="C28"/>
      <selection pane="bottomLeft"/>
    </sheetView>
  </sheetViews>
  <sheetFormatPr baseColWidth="10" defaultColWidth="11.44140625" defaultRowHeight="18.75" customHeight="1" x14ac:dyDescent="0.3"/>
  <cols>
    <col min="1" max="1" width="7" style="70" customWidth="1"/>
    <col min="2" max="2" width="3.109375" style="163" customWidth="1"/>
    <col min="3" max="3" width="43.5546875" style="75" customWidth="1"/>
    <col min="4" max="4" width="2.88671875" style="76" customWidth="1"/>
    <col min="5" max="5" width="18.44140625" style="75" customWidth="1"/>
    <col min="6" max="6" width="11.5546875" style="75" customWidth="1"/>
    <col min="7" max="7" width="11.109375" style="75" customWidth="1"/>
    <col min="8" max="8" width="12.109375" style="75" customWidth="1"/>
    <col min="9" max="9" width="4.5546875" style="76" customWidth="1"/>
    <col min="10" max="10" width="69.44140625" style="70" customWidth="1"/>
    <col min="11" max="28" width="3.88671875" style="70" customWidth="1"/>
    <col min="29" max="16384" width="11.44140625" style="70"/>
  </cols>
  <sheetData>
    <row r="1" spans="1:17" s="1" customFormat="1" ht="45" customHeight="1" x14ac:dyDescent="0.6">
      <c r="B1" s="570" t="str">
        <f ca="1">' '!A376</f>
        <v>C O N T R O L L I N G   P R O J E T S</v>
      </c>
      <c r="C1" s="701"/>
      <c r="D1" s="355"/>
      <c r="E1" s="353"/>
      <c r="F1" s="355"/>
      <c r="G1" s="353"/>
      <c r="H1" s="353"/>
      <c r="I1" s="810"/>
      <c r="J1" s="392"/>
    </row>
    <row r="2" spans="1:17" s="73" customFormat="1" ht="0.9" customHeight="1" x14ac:dyDescent="0.3">
      <c r="A2" s="62"/>
      <c r="B2" s="743"/>
      <c r="C2" s="811"/>
      <c r="D2" s="754"/>
      <c r="E2" s="743"/>
      <c r="F2" s="743"/>
      <c r="G2" s="743"/>
      <c r="H2" s="743"/>
      <c r="I2" s="78"/>
    </row>
    <row r="3" spans="1:17" ht="21" customHeight="1" x14ac:dyDescent="0.3">
      <c r="A3" s="1"/>
      <c r="B3" s="740"/>
      <c r="C3" s="740"/>
      <c r="D3" s="755"/>
      <c r="E3" s="740"/>
      <c r="F3" s="740"/>
      <c r="G3" s="740"/>
      <c r="H3" s="740"/>
      <c r="I3" s="702"/>
    </row>
    <row r="4" spans="1:17" ht="21" customHeight="1" x14ac:dyDescent="0.3">
      <c r="A4" s="812">
        <f>COUNTA(C6:C89)</f>
        <v>1</v>
      </c>
      <c r="B4" s="813" t="str">
        <f ca="1">' '!A377</f>
        <v>No.</v>
      </c>
      <c r="C4" s="814" t="str">
        <f ca="1">' '!A378</f>
        <v>Projets</v>
      </c>
      <c r="D4" s="815" t="s">
        <v>970</v>
      </c>
      <c r="E4" s="816" t="str">
        <f ca="1">' '!A381</f>
        <v>Qui ?</v>
      </c>
      <c r="F4" s="816" t="str">
        <f ca="1">' '!A379</f>
        <v>Début</v>
      </c>
      <c r="G4" s="816" t="str">
        <f ca="1">' '!A380</f>
        <v>Fin</v>
      </c>
      <c r="H4" s="816" t="str">
        <f ca="1">' '!A552</f>
        <v>Avancement</v>
      </c>
      <c r="I4" s="817"/>
      <c r="J4" s="818" t="str">
        <f ca="1">' '!A382</f>
        <v>Commentaires</v>
      </c>
    </row>
    <row r="5" spans="1:17" ht="10.5" customHeight="1" x14ac:dyDescent="0.3">
      <c r="B5" s="819"/>
      <c r="C5" s="820"/>
      <c r="D5" s="821"/>
      <c r="E5" s="822"/>
      <c r="F5" s="822"/>
      <c r="G5" s="822"/>
      <c r="H5" s="822"/>
      <c r="I5" s="823"/>
      <c r="J5" s="824"/>
    </row>
    <row r="6" spans="1:17" ht="14.4" x14ac:dyDescent="0.3">
      <c r="B6" s="71" t="s">
        <v>971</v>
      </c>
      <c r="C6" s="79" t="s">
        <v>1028</v>
      </c>
      <c r="D6" s="80">
        <v>1</v>
      </c>
      <c r="E6" s="81" t="s">
        <v>1030</v>
      </c>
      <c r="F6" s="81">
        <f ca="1">TODAY()-30</f>
        <v>46019</v>
      </c>
      <c r="G6" s="81">
        <f ca="1">F6+90</f>
        <v>46109</v>
      </c>
      <c r="H6" s="145">
        <v>0.5</v>
      </c>
      <c r="I6" s="82">
        <v>3</v>
      </c>
      <c r="J6" s="83"/>
    </row>
    <row r="7" spans="1:17" ht="14.4" x14ac:dyDescent="0.3">
      <c r="B7" s="71" t="s">
        <v>972</v>
      </c>
      <c r="C7" s="79"/>
      <c r="D7" s="84">
        <v>2</v>
      </c>
      <c r="E7" s="81"/>
      <c r="F7" s="81"/>
      <c r="G7" s="81"/>
      <c r="H7" s="145"/>
      <c r="I7" s="82">
        <v>2</v>
      </c>
      <c r="J7" s="83"/>
    </row>
    <row r="8" spans="1:17" ht="14.4" x14ac:dyDescent="0.3">
      <c r="B8" s="71" t="s">
        <v>973</v>
      </c>
      <c r="C8" s="79"/>
      <c r="D8" s="80">
        <v>3</v>
      </c>
      <c r="E8" s="81"/>
      <c r="F8" s="81"/>
      <c r="G8" s="81"/>
      <c r="H8" s="145"/>
      <c r="I8" s="82"/>
      <c r="J8" s="83"/>
      <c r="N8" s="73"/>
    </row>
    <row r="9" spans="1:17" ht="14.4" x14ac:dyDescent="0.3">
      <c r="B9" s="71" t="s">
        <v>974</v>
      </c>
      <c r="C9" s="79"/>
      <c r="D9" s="84"/>
      <c r="E9" s="81"/>
      <c r="F9" s="81"/>
      <c r="G9" s="81"/>
      <c r="H9" s="145"/>
      <c r="I9" s="82"/>
      <c r="J9" s="83"/>
      <c r="N9" s="73"/>
    </row>
    <row r="10" spans="1:17" ht="14.4" x14ac:dyDescent="0.3">
      <c r="B10" s="71" t="s">
        <v>975</v>
      </c>
      <c r="C10" s="79"/>
      <c r="D10" s="80"/>
      <c r="E10" s="81"/>
      <c r="F10" s="81"/>
      <c r="G10" s="81"/>
      <c r="H10" s="145"/>
      <c r="I10" s="82"/>
      <c r="J10" s="83"/>
      <c r="N10" s="73"/>
    </row>
    <row r="11" spans="1:17" ht="14.4" x14ac:dyDescent="0.3">
      <c r="B11" s="71" t="s">
        <v>976</v>
      </c>
      <c r="C11" s="79"/>
      <c r="D11" s="84"/>
      <c r="E11" s="81"/>
      <c r="F11" s="81"/>
      <c r="G11" s="81"/>
      <c r="H11" s="145"/>
      <c r="I11" s="82"/>
      <c r="J11" s="83"/>
      <c r="N11" s="73"/>
      <c r="Q11" s="73"/>
    </row>
    <row r="12" spans="1:17" ht="14.4" x14ac:dyDescent="0.3">
      <c r="B12" s="71" t="s">
        <v>977</v>
      </c>
      <c r="C12" s="79"/>
      <c r="D12" s="80"/>
      <c r="E12" s="81"/>
      <c r="F12" s="81"/>
      <c r="G12" s="81"/>
      <c r="H12" s="145"/>
      <c r="I12" s="82"/>
      <c r="J12" s="83"/>
      <c r="N12" s="73"/>
      <c r="Q12" s="73"/>
    </row>
    <row r="13" spans="1:17" ht="14.4" x14ac:dyDescent="0.3">
      <c r="B13" s="71" t="s">
        <v>978</v>
      </c>
      <c r="C13" s="79"/>
      <c r="D13" s="84"/>
      <c r="E13" s="81"/>
      <c r="F13" s="81"/>
      <c r="G13" s="81"/>
      <c r="H13" s="145"/>
      <c r="I13" s="82"/>
      <c r="J13" s="83"/>
      <c r="N13" s="73"/>
      <c r="P13" s="728"/>
      <c r="Q13" s="73"/>
    </row>
    <row r="14" spans="1:17" ht="14.4" x14ac:dyDescent="0.3">
      <c r="B14" s="71" t="s">
        <v>979</v>
      </c>
      <c r="C14" s="79"/>
      <c r="D14" s="80"/>
      <c r="E14" s="81"/>
      <c r="F14" s="81"/>
      <c r="G14" s="81"/>
      <c r="H14" s="145"/>
      <c r="I14" s="82"/>
      <c r="J14" s="83"/>
      <c r="N14" s="73"/>
      <c r="O14" s="728"/>
      <c r="P14" s="73"/>
      <c r="Q14" s="73"/>
    </row>
    <row r="15" spans="1:17" ht="14.4" x14ac:dyDescent="0.3">
      <c r="B15" s="71" t="s">
        <v>980</v>
      </c>
      <c r="C15" s="79"/>
      <c r="D15" s="84"/>
      <c r="E15" s="81"/>
      <c r="F15" s="81"/>
      <c r="G15" s="81"/>
      <c r="H15" s="145"/>
      <c r="I15" s="82"/>
      <c r="J15" s="83"/>
      <c r="N15" s="73"/>
      <c r="O15" s="73"/>
      <c r="P15" s="73"/>
      <c r="Q15" s="73"/>
    </row>
    <row r="16" spans="1:17" ht="14.4" x14ac:dyDescent="0.3">
      <c r="B16" s="71" t="s">
        <v>981</v>
      </c>
      <c r="C16" s="79"/>
      <c r="D16" s="80"/>
      <c r="E16" s="81"/>
      <c r="F16" s="81"/>
      <c r="G16" s="81"/>
      <c r="H16" s="145"/>
      <c r="I16" s="82"/>
      <c r="J16" s="83"/>
      <c r="N16" s="73"/>
      <c r="O16" s="73"/>
      <c r="P16" s="73"/>
      <c r="Q16" s="73"/>
    </row>
    <row r="17" spans="2:10" ht="14.4" x14ac:dyDescent="0.3">
      <c r="B17" s="71" t="s">
        <v>982</v>
      </c>
      <c r="C17" s="79"/>
      <c r="D17" s="84"/>
      <c r="E17" s="81"/>
      <c r="F17" s="81"/>
      <c r="G17" s="81"/>
      <c r="H17" s="145"/>
      <c r="I17" s="82"/>
      <c r="J17" s="83"/>
    </row>
    <row r="18" spans="2:10" ht="14.4" x14ac:dyDescent="0.3">
      <c r="B18" s="71" t="s">
        <v>983</v>
      </c>
      <c r="C18" s="79"/>
      <c r="D18" s="80"/>
      <c r="E18" s="81"/>
      <c r="F18" s="81"/>
      <c r="G18" s="81"/>
      <c r="H18" s="145"/>
      <c r="I18" s="82"/>
      <c r="J18" s="83"/>
    </row>
    <row r="19" spans="2:10" ht="14.4" x14ac:dyDescent="0.3">
      <c r="B19" s="71" t="s">
        <v>984</v>
      </c>
      <c r="C19" s="79"/>
      <c r="D19" s="84"/>
      <c r="E19" s="81"/>
      <c r="F19" s="81"/>
      <c r="G19" s="81"/>
      <c r="H19" s="145"/>
      <c r="I19" s="82"/>
      <c r="J19" s="83"/>
    </row>
    <row r="20" spans="2:10" ht="14.4" x14ac:dyDescent="0.3">
      <c r="B20" s="71" t="s">
        <v>985</v>
      </c>
      <c r="C20" s="79"/>
      <c r="D20" s="80"/>
      <c r="E20" s="81"/>
      <c r="F20" s="81"/>
      <c r="G20" s="81"/>
      <c r="H20" s="145"/>
      <c r="I20" s="82"/>
      <c r="J20" s="83"/>
    </row>
    <row r="21" spans="2:10" ht="14.4" x14ac:dyDescent="0.3">
      <c r="B21" s="71" t="s">
        <v>986</v>
      </c>
      <c r="C21" s="79"/>
      <c r="D21" s="84"/>
      <c r="E21" s="81"/>
      <c r="F21" s="81"/>
      <c r="G21" s="81"/>
      <c r="H21" s="145"/>
      <c r="I21" s="82"/>
      <c r="J21" s="83"/>
    </row>
    <row r="22" spans="2:10" ht="14.4" x14ac:dyDescent="0.3">
      <c r="B22" s="71" t="s">
        <v>987</v>
      </c>
      <c r="C22" s="79"/>
      <c r="D22" s="80"/>
      <c r="E22" s="81"/>
      <c r="F22" s="81"/>
      <c r="G22" s="81"/>
      <c r="H22" s="145"/>
      <c r="I22" s="82"/>
      <c r="J22" s="83"/>
    </row>
    <row r="23" spans="2:10" ht="14.4" x14ac:dyDescent="0.3">
      <c r="B23" s="71" t="s">
        <v>988</v>
      </c>
      <c r="C23" s="79"/>
      <c r="D23" s="84"/>
      <c r="E23" s="81"/>
      <c r="F23" s="81"/>
      <c r="G23" s="81"/>
      <c r="H23" s="145"/>
      <c r="I23" s="82"/>
      <c r="J23" s="83"/>
    </row>
    <row r="24" spans="2:10" ht="14.4" x14ac:dyDescent="0.3">
      <c r="B24" s="71" t="s">
        <v>989</v>
      </c>
      <c r="C24" s="79"/>
      <c r="D24" s="80"/>
      <c r="E24" s="81"/>
      <c r="F24" s="81"/>
      <c r="G24" s="81"/>
      <c r="H24" s="145"/>
      <c r="I24" s="82"/>
      <c r="J24" s="83"/>
    </row>
    <row r="25" spans="2:10" ht="14.4" x14ac:dyDescent="0.3">
      <c r="B25" s="71" t="s">
        <v>990</v>
      </c>
      <c r="C25" s="79"/>
      <c r="D25" s="84"/>
      <c r="E25" s="81"/>
      <c r="F25" s="81"/>
      <c r="G25" s="81"/>
      <c r="H25" s="145"/>
      <c r="I25" s="82"/>
      <c r="J25" s="83"/>
    </row>
    <row r="26" spans="2:10" ht="14.4" x14ac:dyDescent="0.3">
      <c r="B26" s="71" t="s">
        <v>991</v>
      </c>
      <c r="C26" s="79"/>
      <c r="D26" s="80"/>
      <c r="E26" s="81"/>
      <c r="F26" s="81"/>
      <c r="G26" s="81"/>
      <c r="H26" s="145"/>
      <c r="I26" s="82"/>
      <c r="J26" s="83"/>
    </row>
    <row r="27" spans="2:10" ht="14.4" x14ac:dyDescent="0.3">
      <c r="B27" s="71" t="s">
        <v>992</v>
      </c>
      <c r="C27" s="79"/>
      <c r="D27" s="84"/>
      <c r="E27" s="81"/>
      <c r="F27" s="81"/>
      <c r="G27" s="81"/>
      <c r="H27" s="145"/>
      <c r="I27" s="82"/>
      <c r="J27" s="83"/>
    </row>
    <row r="28" spans="2:10" ht="14.4" x14ac:dyDescent="0.3">
      <c r="B28" s="71" t="s">
        <v>993</v>
      </c>
      <c r="C28" s="79"/>
      <c r="D28" s="80"/>
      <c r="E28" s="81"/>
      <c r="F28" s="81"/>
      <c r="G28" s="81"/>
      <c r="H28" s="145"/>
      <c r="I28" s="82"/>
      <c r="J28" s="83"/>
    </row>
    <row r="29" spans="2:10" ht="14.4" x14ac:dyDescent="0.3">
      <c r="B29" s="71" t="s">
        <v>994</v>
      </c>
      <c r="C29" s="79"/>
      <c r="D29" s="84"/>
      <c r="E29" s="81"/>
      <c r="F29" s="81"/>
      <c r="G29" s="81"/>
      <c r="H29" s="145"/>
      <c r="I29" s="82"/>
      <c r="J29" s="83"/>
    </row>
    <row r="30" spans="2:10" ht="14.4" x14ac:dyDescent="0.3">
      <c r="B30" s="71" t="s">
        <v>995</v>
      </c>
      <c r="C30" s="79"/>
      <c r="D30" s="80"/>
      <c r="E30" s="81"/>
      <c r="F30" s="81"/>
      <c r="G30" s="81"/>
      <c r="H30" s="145"/>
      <c r="I30" s="82"/>
      <c r="J30" s="83"/>
    </row>
    <row r="31" spans="2:10" ht="14.4" x14ac:dyDescent="0.3">
      <c r="B31" s="71" t="s">
        <v>996</v>
      </c>
      <c r="C31" s="79"/>
      <c r="D31" s="84"/>
      <c r="E31" s="81"/>
      <c r="F31" s="81"/>
      <c r="G31" s="81"/>
      <c r="H31" s="145"/>
      <c r="I31" s="82"/>
      <c r="J31" s="83"/>
    </row>
    <row r="32" spans="2:10" ht="14.4" x14ac:dyDescent="0.3">
      <c r="B32" s="71" t="s">
        <v>997</v>
      </c>
      <c r="C32" s="79"/>
      <c r="D32" s="80"/>
      <c r="E32" s="81"/>
      <c r="F32" s="81"/>
      <c r="G32" s="81"/>
      <c r="H32" s="145"/>
      <c r="I32" s="82"/>
      <c r="J32" s="83"/>
    </row>
    <row r="33" spans="2:10" ht="14.4" x14ac:dyDescent="0.3">
      <c r="B33" s="71" t="s">
        <v>998</v>
      </c>
      <c r="C33" s="79"/>
      <c r="D33" s="84"/>
      <c r="E33" s="81"/>
      <c r="F33" s="81"/>
      <c r="G33" s="81"/>
      <c r="H33" s="145"/>
      <c r="I33" s="82"/>
      <c r="J33" s="83"/>
    </row>
    <row r="34" spans="2:10" ht="14.4" x14ac:dyDescent="0.3">
      <c r="B34" s="71" t="s">
        <v>999</v>
      </c>
      <c r="C34" s="79"/>
      <c r="D34" s="80"/>
      <c r="E34" s="81"/>
      <c r="F34" s="81"/>
      <c r="G34" s="81"/>
      <c r="H34" s="145"/>
      <c r="I34" s="82"/>
      <c r="J34" s="83"/>
    </row>
    <row r="35" spans="2:10" ht="14.4" x14ac:dyDescent="0.3">
      <c r="B35" s="71" t="s">
        <v>1000</v>
      </c>
      <c r="C35" s="79"/>
      <c r="D35" s="84"/>
      <c r="E35" s="81"/>
      <c r="F35" s="81"/>
      <c r="G35" s="81"/>
      <c r="H35" s="145"/>
      <c r="I35" s="82"/>
      <c r="J35" s="83"/>
    </row>
    <row r="36" spans="2:10" ht="14.4" x14ac:dyDescent="0.3">
      <c r="B36" s="71" t="s">
        <v>1001</v>
      </c>
      <c r="C36" s="79"/>
      <c r="D36" s="80"/>
      <c r="E36" s="81"/>
      <c r="F36" s="81"/>
      <c r="G36" s="81"/>
      <c r="H36" s="145"/>
      <c r="I36" s="82"/>
      <c r="J36" s="83"/>
    </row>
    <row r="37" spans="2:10" ht="14.4" x14ac:dyDescent="0.3">
      <c r="B37" s="71" t="s">
        <v>1002</v>
      </c>
      <c r="C37" s="79"/>
      <c r="D37" s="84"/>
      <c r="E37" s="81"/>
      <c r="F37" s="81"/>
      <c r="G37" s="81"/>
      <c r="H37" s="145"/>
      <c r="I37" s="82"/>
      <c r="J37" s="83"/>
    </row>
    <row r="38" spans="2:10" ht="14.4" x14ac:dyDescent="0.3">
      <c r="B38" s="71" t="s">
        <v>1003</v>
      </c>
      <c r="C38" s="79"/>
      <c r="D38" s="80"/>
      <c r="E38" s="81"/>
      <c r="F38" s="81"/>
      <c r="G38" s="81"/>
      <c r="H38" s="145"/>
      <c r="I38" s="82"/>
      <c r="J38" s="83"/>
    </row>
    <row r="39" spans="2:10" ht="14.4" x14ac:dyDescent="0.3">
      <c r="B39" s="71" t="s">
        <v>1004</v>
      </c>
      <c r="C39" s="79"/>
      <c r="D39" s="84"/>
      <c r="E39" s="81"/>
      <c r="F39" s="81"/>
      <c r="G39" s="81"/>
      <c r="H39" s="145"/>
      <c r="I39" s="82"/>
      <c r="J39" s="83"/>
    </row>
    <row r="40" spans="2:10" ht="14.4" x14ac:dyDescent="0.3">
      <c r="B40" s="71" t="s">
        <v>1005</v>
      </c>
      <c r="C40" s="79"/>
      <c r="D40" s="80"/>
      <c r="E40" s="81"/>
      <c r="F40" s="81"/>
      <c r="G40" s="81"/>
      <c r="H40" s="145"/>
      <c r="I40" s="82"/>
      <c r="J40" s="83"/>
    </row>
    <row r="41" spans="2:10" ht="14.4" x14ac:dyDescent="0.3">
      <c r="B41" s="71" t="s">
        <v>1006</v>
      </c>
      <c r="C41" s="79"/>
      <c r="D41" s="84"/>
      <c r="E41" s="81"/>
      <c r="F41" s="81"/>
      <c r="G41" s="81"/>
      <c r="H41" s="145"/>
      <c r="I41" s="82"/>
      <c r="J41" s="83"/>
    </row>
    <row r="42" spans="2:10" ht="14.4" x14ac:dyDescent="0.3">
      <c r="B42" s="71" t="s">
        <v>1007</v>
      </c>
      <c r="C42" s="79"/>
      <c r="D42" s="80"/>
      <c r="E42" s="81"/>
      <c r="F42" s="81"/>
      <c r="G42" s="81"/>
      <c r="H42" s="145"/>
      <c r="I42" s="82"/>
      <c r="J42" s="83"/>
    </row>
    <row r="43" spans="2:10" ht="14.4" x14ac:dyDescent="0.3">
      <c r="B43" s="71" t="s">
        <v>1008</v>
      </c>
      <c r="C43" s="79"/>
      <c r="D43" s="84"/>
      <c r="E43" s="81"/>
      <c r="F43" s="81"/>
      <c r="G43" s="81"/>
      <c r="H43" s="145"/>
      <c r="I43" s="82"/>
      <c r="J43" s="83"/>
    </row>
    <row r="44" spans="2:10" ht="14.4" x14ac:dyDescent="0.3">
      <c r="B44" s="71" t="s">
        <v>1009</v>
      </c>
      <c r="C44" s="79"/>
      <c r="D44" s="80"/>
      <c r="E44" s="81"/>
      <c r="F44" s="81"/>
      <c r="G44" s="81"/>
      <c r="H44" s="145"/>
      <c r="I44" s="82"/>
      <c r="J44" s="83"/>
    </row>
    <row r="45" spans="2:10" ht="14.4" x14ac:dyDescent="0.3">
      <c r="B45" s="71" t="s">
        <v>1010</v>
      </c>
      <c r="C45" s="79"/>
      <c r="D45" s="84"/>
      <c r="E45" s="81"/>
      <c r="F45" s="81"/>
      <c r="G45" s="81"/>
      <c r="H45" s="145"/>
      <c r="I45" s="82"/>
      <c r="J45" s="83"/>
    </row>
    <row r="46" spans="2:10" ht="14.4" x14ac:dyDescent="0.3">
      <c r="B46" s="71" t="s">
        <v>1011</v>
      </c>
      <c r="C46" s="79"/>
      <c r="D46" s="80"/>
      <c r="E46" s="81"/>
      <c r="F46" s="81"/>
      <c r="G46" s="81"/>
      <c r="H46" s="145"/>
      <c r="I46" s="82"/>
      <c r="J46" s="83"/>
    </row>
    <row r="47" spans="2:10" ht="14.4" x14ac:dyDescent="0.3">
      <c r="B47" s="71" t="s">
        <v>1012</v>
      </c>
      <c r="C47" s="79"/>
      <c r="D47" s="84"/>
      <c r="E47" s="81"/>
      <c r="F47" s="81"/>
      <c r="G47" s="81"/>
      <c r="H47" s="145"/>
      <c r="I47" s="82"/>
      <c r="J47" s="83"/>
    </row>
    <row r="48" spans="2:10" ht="14.4" x14ac:dyDescent="0.3">
      <c r="B48" s="71" t="s">
        <v>1013</v>
      </c>
      <c r="C48" s="79"/>
      <c r="D48" s="80"/>
      <c r="E48" s="81"/>
      <c r="F48" s="81"/>
      <c r="G48" s="81"/>
      <c r="H48" s="145"/>
      <c r="I48" s="82"/>
      <c r="J48" s="83"/>
    </row>
    <row r="49" spans="2:10" ht="14.4" x14ac:dyDescent="0.3">
      <c r="B49" s="71" t="s">
        <v>1014</v>
      </c>
      <c r="C49" s="79"/>
      <c r="D49" s="84"/>
      <c r="E49" s="81"/>
      <c r="F49" s="81"/>
      <c r="G49" s="81"/>
      <c r="H49" s="145"/>
      <c r="I49" s="82"/>
      <c r="J49" s="83"/>
    </row>
    <row r="50" spans="2:10" ht="14.4" x14ac:dyDescent="0.3">
      <c r="B50" s="71" t="s">
        <v>1015</v>
      </c>
      <c r="C50" s="79"/>
      <c r="D50" s="80"/>
      <c r="E50" s="81"/>
      <c r="F50" s="81"/>
      <c r="G50" s="81"/>
      <c r="H50" s="145"/>
      <c r="I50" s="82"/>
      <c r="J50" s="83"/>
    </row>
    <row r="51" spans="2:10" ht="14.4" x14ac:dyDescent="0.3">
      <c r="B51" s="71" t="s">
        <v>1016</v>
      </c>
      <c r="C51" s="79"/>
      <c r="D51" s="84"/>
      <c r="E51" s="81"/>
      <c r="F51" s="81"/>
      <c r="G51" s="81"/>
      <c r="H51" s="145"/>
      <c r="I51" s="82"/>
      <c r="J51" s="83"/>
    </row>
    <row r="52" spans="2:10" ht="14.4" x14ac:dyDescent="0.3">
      <c r="B52" s="71" t="s">
        <v>1017</v>
      </c>
      <c r="C52" s="79"/>
      <c r="D52" s="80"/>
      <c r="E52" s="81"/>
      <c r="F52" s="81"/>
      <c r="G52" s="81"/>
      <c r="H52" s="145"/>
      <c r="I52" s="82"/>
      <c r="J52" s="83"/>
    </row>
    <row r="53" spans="2:10" ht="14.4" x14ac:dyDescent="0.3">
      <c r="B53" s="71" t="s">
        <v>1018</v>
      </c>
      <c r="C53" s="79"/>
      <c r="D53" s="84"/>
      <c r="E53" s="81"/>
      <c r="F53" s="81"/>
      <c r="G53" s="81"/>
      <c r="H53" s="145"/>
      <c r="I53" s="82"/>
      <c r="J53" s="83"/>
    </row>
    <row r="54" spans="2:10" ht="14.4" x14ac:dyDescent="0.3">
      <c r="B54" s="71" t="s">
        <v>1019</v>
      </c>
      <c r="C54" s="79"/>
      <c r="D54" s="80"/>
      <c r="E54" s="81"/>
      <c r="F54" s="81"/>
      <c r="G54" s="81"/>
      <c r="H54" s="145"/>
      <c r="I54" s="82"/>
      <c r="J54" s="83"/>
    </row>
    <row r="55" spans="2:10" ht="14.4" x14ac:dyDescent="0.3">
      <c r="B55" s="71" t="s">
        <v>1020</v>
      </c>
      <c r="C55" s="79"/>
      <c r="D55" s="84"/>
      <c r="E55" s="81"/>
      <c r="F55" s="81"/>
      <c r="G55" s="81"/>
      <c r="H55" s="145"/>
      <c r="I55" s="82"/>
      <c r="J55" s="83"/>
    </row>
    <row r="56" spans="2:10" ht="14.4" x14ac:dyDescent="0.3">
      <c r="B56" s="71" t="s">
        <v>1773</v>
      </c>
      <c r="C56" s="79"/>
      <c r="D56" s="80"/>
      <c r="E56" s="81"/>
      <c r="F56" s="81"/>
      <c r="G56" s="81"/>
      <c r="H56" s="145"/>
      <c r="I56" s="82"/>
      <c r="J56" s="83"/>
    </row>
    <row r="57" spans="2:10" ht="14.4" x14ac:dyDescent="0.3">
      <c r="B57" s="71" t="s">
        <v>1774</v>
      </c>
      <c r="C57" s="79"/>
      <c r="D57" s="84"/>
      <c r="E57" s="81"/>
      <c r="F57" s="81"/>
      <c r="G57" s="81"/>
      <c r="H57" s="145"/>
      <c r="I57" s="82"/>
      <c r="J57" s="83"/>
    </row>
    <row r="58" spans="2:10" ht="14.4" x14ac:dyDescent="0.3">
      <c r="B58" s="71" t="s">
        <v>1775</v>
      </c>
      <c r="C58" s="79"/>
      <c r="D58" s="80"/>
      <c r="E58" s="81"/>
      <c r="F58" s="81"/>
      <c r="G58" s="81"/>
      <c r="H58" s="145"/>
      <c r="I58" s="82"/>
      <c r="J58" s="83"/>
    </row>
    <row r="59" spans="2:10" ht="14.4" x14ac:dyDescent="0.3">
      <c r="B59" s="71" t="s">
        <v>1776</v>
      </c>
      <c r="C59" s="79"/>
      <c r="D59" s="84"/>
      <c r="E59" s="81"/>
      <c r="F59" s="81"/>
      <c r="G59" s="81"/>
      <c r="H59" s="145"/>
      <c r="I59" s="82"/>
      <c r="J59" s="83"/>
    </row>
    <row r="60" spans="2:10" ht="14.4" x14ac:dyDescent="0.3">
      <c r="B60" s="71" t="s">
        <v>1777</v>
      </c>
      <c r="C60" s="79"/>
      <c r="D60" s="80"/>
      <c r="E60" s="81"/>
      <c r="F60" s="81"/>
      <c r="G60" s="81"/>
      <c r="H60" s="145"/>
      <c r="I60" s="82"/>
      <c r="J60" s="83"/>
    </row>
    <row r="61" spans="2:10" ht="14.4" x14ac:dyDescent="0.3">
      <c r="B61" s="71" t="s">
        <v>1778</v>
      </c>
      <c r="C61" s="79"/>
      <c r="D61" s="84"/>
      <c r="E61" s="81"/>
      <c r="F61" s="81"/>
      <c r="G61" s="81"/>
      <c r="H61" s="145"/>
      <c r="I61" s="82"/>
      <c r="J61" s="83"/>
    </row>
    <row r="62" spans="2:10" ht="14.4" x14ac:dyDescent="0.3">
      <c r="B62" s="71" t="s">
        <v>1779</v>
      </c>
      <c r="C62" s="79"/>
      <c r="D62" s="80"/>
      <c r="E62" s="81"/>
      <c r="F62" s="81"/>
      <c r="G62" s="81"/>
      <c r="H62" s="145"/>
      <c r="I62" s="82"/>
      <c r="J62" s="83"/>
    </row>
    <row r="63" spans="2:10" ht="14.4" x14ac:dyDescent="0.3">
      <c r="B63" s="71" t="s">
        <v>1780</v>
      </c>
      <c r="C63" s="79"/>
      <c r="D63" s="84"/>
      <c r="E63" s="81"/>
      <c r="F63" s="81"/>
      <c r="G63" s="81"/>
      <c r="H63" s="145"/>
      <c r="I63" s="82"/>
      <c r="J63" s="83"/>
    </row>
    <row r="64" spans="2:10" ht="14.4" x14ac:dyDescent="0.3">
      <c r="B64" s="71" t="s">
        <v>1781</v>
      </c>
      <c r="C64" s="79"/>
      <c r="D64" s="80"/>
      <c r="E64" s="81"/>
      <c r="F64" s="81"/>
      <c r="G64" s="81"/>
      <c r="H64" s="145"/>
      <c r="I64" s="82"/>
      <c r="J64" s="83"/>
    </row>
    <row r="65" spans="2:10" ht="14.4" x14ac:dyDescent="0.3">
      <c r="B65" s="71" t="s">
        <v>1782</v>
      </c>
      <c r="C65" s="79"/>
      <c r="D65" s="84"/>
      <c r="E65" s="81"/>
      <c r="F65" s="81"/>
      <c r="G65" s="81"/>
      <c r="H65" s="145"/>
      <c r="I65" s="82"/>
      <c r="J65" s="83"/>
    </row>
    <row r="66" spans="2:10" ht="14.4" x14ac:dyDescent="0.3">
      <c r="B66" s="71" t="s">
        <v>1783</v>
      </c>
      <c r="C66" s="79"/>
      <c r="D66" s="80"/>
      <c r="E66" s="81"/>
      <c r="F66" s="81"/>
      <c r="G66" s="81"/>
      <c r="H66" s="145"/>
      <c r="I66" s="82"/>
      <c r="J66" s="83"/>
    </row>
    <row r="67" spans="2:10" ht="14.4" x14ac:dyDescent="0.3">
      <c r="B67" s="71" t="s">
        <v>1784</v>
      </c>
      <c r="C67" s="79"/>
      <c r="D67" s="84"/>
      <c r="E67" s="81"/>
      <c r="F67" s="81"/>
      <c r="G67" s="81"/>
      <c r="H67" s="145"/>
      <c r="I67" s="82"/>
      <c r="J67" s="83"/>
    </row>
    <row r="68" spans="2:10" ht="14.4" x14ac:dyDescent="0.3">
      <c r="B68" s="71" t="s">
        <v>1785</v>
      </c>
      <c r="C68" s="79"/>
      <c r="D68" s="80"/>
      <c r="E68" s="81"/>
      <c r="F68" s="81"/>
      <c r="G68" s="81"/>
      <c r="H68" s="145"/>
      <c r="I68" s="82"/>
      <c r="J68" s="83"/>
    </row>
    <row r="69" spans="2:10" ht="14.4" x14ac:dyDescent="0.3">
      <c r="B69" s="71" t="s">
        <v>1786</v>
      </c>
      <c r="C69" s="79"/>
      <c r="D69" s="84"/>
      <c r="E69" s="81"/>
      <c r="F69" s="81"/>
      <c r="G69" s="81"/>
      <c r="H69" s="145"/>
      <c r="I69" s="82"/>
      <c r="J69" s="83"/>
    </row>
    <row r="70" spans="2:10" ht="14.4" x14ac:dyDescent="0.3">
      <c r="B70" s="71" t="s">
        <v>1787</v>
      </c>
      <c r="C70" s="79"/>
      <c r="D70" s="80"/>
      <c r="E70" s="81"/>
      <c r="F70" s="81"/>
      <c r="G70" s="81"/>
      <c r="H70" s="145"/>
      <c r="I70" s="82"/>
      <c r="J70" s="83"/>
    </row>
    <row r="71" spans="2:10" ht="14.4" x14ac:dyDescent="0.3">
      <c r="B71" s="71" t="s">
        <v>1788</v>
      </c>
      <c r="C71" s="79"/>
      <c r="D71" s="84"/>
      <c r="E71" s="81"/>
      <c r="F71" s="81"/>
      <c r="G71" s="81"/>
      <c r="H71" s="145"/>
      <c r="I71" s="82"/>
      <c r="J71" s="83"/>
    </row>
    <row r="72" spans="2:10" ht="14.4" x14ac:dyDescent="0.3">
      <c r="B72" s="71" t="s">
        <v>1789</v>
      </c>
      <c r="C72" s="79"/>
      <c r="D72" s="80"/>
      <c r="E72" s="81"/>
      <c r="F72" s="81"/>
      <c r="G72" s="81"/>
      <c r="H72" s="145"/>
      <c r="I72" s="82"/>
      <c r="J72" s="83"/>
    </row>
    <row r="73" spans="2:10" ht="14.4" x14ac:dyDescent="0.3">
      <c r="B73" s="71" t="s">
        <v>1790</v>
      </c>
      <c r="C73" s="79"/>
      <c r="D73" s="84"/>
      <c r="E73" s="81"/>
      <c r="F73" s="81"/>
      <c r="G73" s="81"/>
      <c r="H73" s="145"/>
      <c r="I73" s="82"/>
      <c r="J73" s="83"/>
    </row>
    <row r="74" spans="2:10" ht="14.4" x14ac:dyDescent="0.3">
      <c r="B74" s="71" t="s">
        <v>1791</v>
      </c>
      <c r="C74" s="79"/>
      <c r="D74" s="80"/>
      <c r="E74" s="81"/>
      <c r="F74" s="81"/>
      <c r="G74" s="81"/>
      <c r="H74" s="145"/>
      <c r="I74" s="82"/>
      <c r="J74" s="83"/>
    </row>
    <row r="75" spans="2:10" ht="14.4" x14ac:dyDescent="0.3">
      <c r="B75" s="71" t="s">
        <v>1792</v>
      </c>
      <c r="C75" s="79"/>
      <c r="D75" s="84"/>
      <c r="E75" s="81"/>
      <c r="F75" s="81"/>
      <c r="G75" s="81"/>
      <c r="H75" s="145"/>
      <c r="I75" s="82"/>
      <c r="J75" s="83"/>
    </row>
    <row r="76" spans="2:10" ht="14.4" x14ac:dyDescent="0.3">
      <c r="B76" s="71" t="s">
        <v>1793</v>
      </c>
      <c r="C76" s="79"/>
      <c r="D76" s="80"/>
      <c r="E76" s="81"/>
      <c r="F76" s="81"/>
      <c r="G76" s="81"/>
      <c r="H76" s="145"/>
      <c r="I76" s="82"/>
      <c r="J76" s="83"/>
    </row>
    <row r="77" spans="2:10" ht="14.4" x14ac:dyDescent="0.3">
      <c r="B77" s="71" t="s">
        <v>1794</v>
      </c>
      <c r="C77" s="79"/>
      <c r="D77" s="84"/>
      <c r="E77" s="81"/>
      <c r="F77" s="81"/>
      <c r="G77" s="81"/>
      <c r="H77" s="145"/>
      <c r="I77" s="82"/>
      <c r="J77" s="83"/>
    </row>
    <row r="78" spans="2:10" ht="14.4" x14ac:dyDescent="0.3">
      <c r="B78" s="71" t="s">
        <v>1795</v>
      </c>
      <c r="C78" s="79"/>
      <c r="D78" s="80"/>
      <c r="E78" s="81"/>
      <c r="F78" s="81"/>
      <c r="G78" s="81"/>
      <c r="H78" s="145"/>
      <c r="I78" s="82"/>
      <c r="J78" s="83"/>
    </row>
    <row r="79" spans="2:10" ht="14.4" x14ac:dyDescent="0.3">
      <c r="B79" s="71" t="s">
        <v>1796</v>
      </c>
      <c r="C79" s="79"/>
      <c r="D79" s="84"/>
      <c r="E79" s="81"/>
      <c r="F79" s="81"/>
      <c r="G79" s="81"/>
      <c r="H79" s="145"/>
      <c r="I79" s="82"/>
      <c r="J79" s="83"/>
    </row>
    <row r="80" spans="2:10" ht="14.4" x14ac:dyDescent="0.3">
      <c r="B80" s="71" t="s">
        <v>1797</v>
      </c>
      <c r="C80" s="79"/>
      <c r="D80" s="80"/>
      <c r="E80" s="81"/>
      <c r="F80" s="81"/>
      <c r="G80" s="81"/>
      <c r="H80" s="145"/>
      <c r="I80" s="82"/>
      <c r="J80" s="83"/>
    </row>
    <row r="81" spans="2:10" ht="14.4" x14ac:dyDescent="0.3">
      <c r="B81" s="71" t="s">
        <v>1798</v>
      </c>
      <c r="C81" s="79"/>
      <c r="D81" s="84"/>
      <c r="E81" s="81"/>
      <c r="F81" s="81"/>
      <c r="G81" s="81"/>
      <c r="H81" s="145"/>
      <c r="I81" s="82"/>
      <c r="J81" s="83"/>
    </row>
    <row r="82" spans="2:10" ht="14.4" x14ac:dyDescent="0.3">
      <c r="B82" s="71" t="s">
        <v>1799</v>
      </c>
      <c r="C82" s="79"/>
      <c r="D82" s="80"/>
      <c r="E82" s="81"/>
      <c r="F82" s="81"/>
      <c r="G82" s="81"/>
      <c r="H82" s="145"/>
      <c r="I82" s="82"/>
      <c r="J82" s="83"/>
    </row>
    <row r="83" spans="2:10" ht="14.4" x14ac:dyDescent="0.3">
      <c r="B83" s="71" t="s">
        <v>1800</v>
      </c>
      <c r="C83" s="79"/>
      <c r="D83" s="84"/>
      <c r="E83" s="81"/>
      <c r="F83" s="81"/>
      <c r="G83" s="81"/>
      <c r="H83" s="145"/>
      <c r="I83" s="82"/>
      <c r="J83" s="83"/>
    </row>
    <row r="84" spans="2:10" ht="14.4" x14ac:dyDescent="0.3">
      <c r="B84" s="71" t="s">
        <v>1801</v>
      </c>
      <c r="C84" s="79"/>
      <c r="D84" s="80"/>
      <c r="E84" s="81"/>
      <c r="F84" s="81"/>
      <c r="G84" s="81"/>
      <c r="H84" s="145"/>
      <c r="I84" s="82"/>
      <c r="J84" s="83"/>
    </row>
    <row r="85" spans="2:10" ht="14.4" x14ac:dyDescent="0.3">
      <c r="B85" s="71" t="s">
        <v>1802</v>
      </c>
      <c r="C85" s="79"/>
      <c r="D85" s="84"/>
      <c r="E85" s="81"/>
      <c r="F85" s="81"/>
      <c r="G85" s="81"/>
      <c r="H85" s="145"/>
      <c r="I85" s="82"/>
      <c r="J85" s="83"/>
    </row>
    <row r="86" spans="2:10" ht="14.4" x14ac:dyDescent="0.3">
      <c r="B86" s="71" t="s">
        <v>1838</v>
      </c>
      <c r="C86" s="79"/>
      <c r="D86" s="80"/>
      <c r="E86" s="81"/>
      <c r="F86" s="81"/>
      <c r="G86" s="81"/>
      <c r="H86" s="145"/>
      <c r="I86" s="82"/>
      <c r="J86" s="83"/>
    </row>
    <row r="87" spans="2:10" ht="14.4" x14ac:dyDescent="0.3">
      <c r="B87" s="71" t="s">
        <v>1839</v>
      </c>
      <c r="C87" s="79"/>
      <c r="D87" s="84"/>
      <c r="E87" s="81"/>
      <c r="F87" s="81"/>
      <c r="G87" s="81"/>
      <c r="H87" s="145"/>
      <c r="I87" s="82"/>
      <c r="J87" s="83"/>
    </row>
    <row r="88" spans="2:10" ht="14.4" x14ac:dyDescent="0.3">
      <c r="B88" s="71" t="s">
        <v>1840</v>
      </c>
      <c r="C88" s="79"/>
      <c r="D88" s="80"/>
      <c r="E88" s="81"/>
      <c r="F88" s="81"/>
      <c r="G88" s="81"/>
      <c r="H88" s="145"/>
      <c r="I88" s="82"/>
      <c r="J88" s="83"/>
    </row>
    <row r="89" spans="2:10" ht="14.4" x14ac:dyDescent="0.3">
      <c r="B89" s="71" t="s">
        <v>1841</v>
      </c>
      <c r="C89" s="79"/>
      <c r="D89" s="84"/>
      <c r="E89" s="81"/>
      <c r="F89" s="81"/>
      <c r="G89" s="81"/>
      <c r="H89" s="145"/>
      <c r="I89" s="82"/>
      <c r="J89" s="83"/>
    </row>
    <row r="90" spans="2:10" ht="15.75" customHeight="1" x14ac:dyDescent="0.3">
      <c r="B90" s="825"/>
      <c r="C90" s="520" t="s">
        <v>1705</v>
      </c>
      <c r="D90" s="826"/>
      <c r="E90" s="826"/>
      <c r="F90" s="826"/>
      <c r="G90" s="826"/>
      <c r="H90" s="826"/>
      <c r="I90" s="827"/>
    </row>
  </sheetData>
  <sheetProtection sheet="1" objects="1" scenarios="1" formatCells="0" formatColumns="0" formatRows="0" insertHyperlinks="0" sort="0" autoFilter="0"/>
  <autoFilter ref="C5:J89" xr:uid="{00000000-0009-0000-0000-000014000000}"/>
  <sortState xmlns:xlrd2="http://schemas.microsoft.com/office/spreadsheetml/2017/richdata2" ref="C6:J16">
    <sortCondition ref="D6:D16"/>
  </sortState>
  <phoneticPr fontId="149" type="noConversion"/>
  <conditionalFormatting sqref="D6:D39">
    <cfRule type="cellIs" dxfId="64" priority="22" operator="equal">
      <formula>3</formula>
    </cfRule>
    <cfRule type="cellIs" dxfId="63" priority="23" operator="equal">
      <formula>2</formula>
    </cfRule>
    <cfRule type="cellIs" dxfId="62" priority="24" operator="equal">
      <formula>1</formula>
    </cfRule>
  </conditionalFormatting>
  <conditionalFormatting sqref="H6:H89">
    <cfRule type="dataBar" priority="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{2CAFF2B5-1206-4B2A-8DE2-96C8F870F266}</x14:id>
        </ext>
      </extLst>
    </cfRule>
  </conditionalFormatting>
  <conditionalFormatting sqref="C6:J39">
    <cfRule type="expression" dxfId="61" priority="12572">
      <formula>MOD(ROW(A1),2)=0</formula>
    </cfRule>
    <cfRule type="expression" dxfId="60" priority="12573">
      <formula>MOD(ROW(A2),2)=0</formula>
    </cfRule>
  </conditionalFormatting>
  <conditionalFormatting sqref="I6:I39">
    <cfRule type="iconSet" priority="19829">
      <iconSet iconSet="3Symbols2" showValue="0" reverse="1">
        <cfvo type="percent" val="0"/>
        <cfvo type="num" val="1.25"/>
        <cfvo type="num" val="2.25"/>
      </iconSet>
    </cfRule>
  </conditionalFormatting>
  <conditionalFormatting sqref="D40:D89">
    <cfRule type="cellIs" dxfId="59" priority="2" operator="equal">
      <formula>3</formula>
    </cfRule>
    <cfRule type="cellIs" dxfId="58" priority="3" operator="equal">
      <formula>2</formula>
    </cfRule>
    <cfRule type="cellIs" dxfId="57" priority="4" operator="equal">
      <formula>1</formula>
    </cfRule>
  </conditionalFormatting>
  <conditionalFormatting sqref="C40:J89">
    <cfRule type="expression" dxfId="56" priority="6">
      <formula>MOD(ROW(A35),2)=0</formula>
    </cfRule>
    <cfRule type="expression" dxfId="55" priority="15">
      <formula>MOD(ROW(A36),2)=0</formula>
    </cfRule>
  </conditionalFormatting>
  <conditionalFormatting sqref="I40:I89">
    <cfRule type="iconSet" priority="7">
      <iconSet iconSet="3Symbols2" showValue="0" reverse="1">
        <cfvo type="percent" val="0"/>
        <cfvo type="num" val="1.25"/>
        <cfvo type="num" val="2.25"/>
      </iconSet>
    </cfRule>
  </conditionalFormatting>
  <dataValidations count="2">
    <dataValidation type="list" showInputMessage="1" showErrorMessage="1" sqref="I6:I89" xr:uid="{00000000-0002-0000-1400-000000000000}">
      <formula1>"1,2,3"</formula1>
    </dataValidation>
    <dataValidation type="list" allowBlank="1" showInputMessage="1" showErrorMessage="1" errorTitle="Priority" error="Please select priority 1 to 3" sqref="D6:D89" xr:uid="{00000000-0002-0000-1400-000001000000}">
      <formula1>"1,2,3"</formula1>
    </dataValidation>
  </dataValidations>
  <pageMargins left="0.19685039370078741" right="0.19685039370078741" top="0.31496062992125984" bottom="0.43307086614173229" header="0" footer="0.19685039370078741"/>
  <pageSetup paperSize="9" scale="80" fitToHeight="2" orientation="landscape" r:id="rId1"/>
  <headerFooter scaleWithDoc="0">
    <oddFooter>&amp;L&amp;8&amp;K01+049(c) s. imboden&amp;C&amp;8&amp;K01+049printed &amp;D&amp;R&amp;8&amp;K03+000&amp;P/&amp;N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AFF2B5-1206-4B2A-8DE2-96C8F870F266}">
            <x14:dataBar minLength="0" maxLength="10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H6:H89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Name not in the list!" xr:uid="{00000000-0002-0000-1400-000002000000}">
          <x14:formula1>
            <xm:f>Projektteam!$BA$10:$BA$31</xm:f>
          </x14:formula1>
          <xm:sqref>E6:E89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4">
    <tabColor theme="4" tint="0.59999389629810485"/>
  </sheetPr>
  <dimension ref="A1:M155"/>
  <sheetViews>
    <sheetView showGridLines="0" showRowColHeaders="0" zoomScaleNormal="100" workbookViewId="0">
      <pane ySplit="5" topLeftCell="A6" activePane="bottomLeft" state="frozen"/>
      <selection pane="bottomLeft" activeCell="C6" sqref="C6"/>
    </sheetView>
  </sheetViews>
  <sheetFormatPr baseColWidth="10" defaultColWidth="11.44140625" defaultRowHeight="13.8" x14ac:dyDescent="0.3"/>
  <cols>
    <col min="1" max="1" width="7" style="70" customWidth="1"/>
    <col min="2" max="2" width="4" style="77" customWidth="1"/>
    <col min="3" max="3" width="12.109375" style="77" customWidth="1"/>
    <col min="4" max="4" width="64" style="75" customWidth="1"/>
    <col min="5" max="5" width="11.109375" style="75" customWidth="1"/>
    <col min="6" max="6" width="5" style="75" customWidth="1"/>
    <col min="7" max="7" width="4.5546875" style="76" customWidth="1"/>
    <col min="8" max="23" width="3.88671875" style="70" customWidth="1"/>
    <col min="24" max="16384" width="11.44140625" style="70"/>
  </cols>
  <sheetData>
    <row r="1" spans="1:13" ht="44.25" customHeight="1" x14ac:dyDescent="0.6">
      <c r="A1" s="737"/>
      <c r="B1" s="752" t="str">
        <f ca="1">' '!A417</f>
        <v>Notes</v>
      </c>
      <c r="C1" s="828"/>
      <c r="D1" s="829"/>
      <c r="E1" s="830"/>
      <c r="F1" s="831"/>
      <c r="G1" s="70"/>
    </row>
    <row r="2" spans="1:13" s="73" customFormat="1" ht="0.75" customHeight="1" x14ac:dyDescent="0.3">
      <c r="B2" s="832"/>
      <c r="C2" s="832"/>
      <c r="D2" s="75"/>
      <c r="E2" s="833"/>
      <c r="F2" s="70"/>
      <c r="G2" s="70"/>
      <c r="H2" s="70"/>
      <c r="I2" s="70"/>
      <c r="J2" s="70"/>
      <c r="K2" s="70"/>
      <c r="L2" s="70"/>
      <c r="M2" s="70"/>
    </row>
    <row r="3" spans="1:13" ht="21" customHeight="1" x14ac:dyDescent="0.3">
      <c r="B3" s="741"/>
      <c r="C3" s="741"/>
      <c r="D3" s="97"/>
      <c r="E3" s="740"/>
      <c r="F3" s="70"/>
      <c r="G3" s="70"/>
    </row>
    <row r="4" spans="1:13" ht="27" customHeight="1" x14ac:dyDescent="0.3">
      <c r="B4" s="834" t="str">
        <f ca="1">' '!A422</f>
        <v>No.</v>
      </c>
      <c r="C4" s="835" t="str">
        <f ca="1">' '!A418</f>
        <v>Date</v>
      </c>
      <c r="D4" s="836" t="str">
        <f ca="1">' '!A419</f>
        <v>Quoi ?</v>
      </c>
      <c r="E4" s="836" t="str">
        <f ca="1">' '!A420</f>
        <v>Qui ?</v>
      </c>
      <c r="F4" s="837" t="str">
        <f>IF(COUNTIF(F6:F993,2)&lt;&gt;0,COUNTIF(F6:F993,2),"")</f>
        <v/>
      </c>
      <c r="G4" s="838"/>
    </row>
    <row r="5" spans="1:13" ht="11.4" customHeight="1" x14ac:dyDescent="0.3">
      <c r="B5" s="839" t="s">
        <v>1758</v>
      </c>
      <c r="C5" s="839" t="s">
        <v>1762</v>
      </c>
      <c r="D5" s="840" t="s">
        <v>1759</v>
      </c>
      <c r="E5" s="841" t="s">
        <v>1760</v>
      </c>
      <c r="F5" s="842" t="s">
        <v>1761</v>
      </c>
      <c r="G5" s="72"/>
    </row>
    <row r="6" spans="1:13" ht="14.4" x14ac:dyDescent="0.3">
      <c r="B6" s="128">
        <v>1</v>
      </c>
      <c r="C6" s="121">
        <f t="shared" ref="C6" ca="1" si="0">TODAY()</f>
        <v>46049</v>
      </c>
      <c r="D6" s="125" t="s">
        <v>1205</v>
      </c>
      <c r="E6" s="126" t="s">
        <v>1031</v>
      </c>
      <c r="F6" s="127">
        <v>1</v>
      </c>
      <c r="G6" s="72"/>
      <c r="I6" s="73"/>
    </row>
    <row r="7" spans="1:13" ht="14.4" x14ac:dyDescent="0.3">
      <c r="B7" s="129">
        <v>2</v>
      </c>
      <c r="C7" s="130"/>
      <c r="D7" s="74"/>
      <c r="E7" s="74"/>
      <c r="F7" s="122"/>
    </row>
    <row r="8" spans="1:13" ht="14.4" x14ac:dyDescent="0.3">
      <c r="B8" s="128">
        <v>3</v>
      </c>
      <c r="C8" s="130"/>
      <c r="D8" s="74"/>
      <c r="E8" s="74"/>
      <c r="F8" s="122"/>
    </row>
    <row r="9" spans="1:13" ht="14.4" x14ac:dyDescent="0.3">
      <c r="B9" s="129">
        <v>4</v>
      </c>
      <c r="C9" s="130"/>
      <c r="D9" s="74"/>
      <c r="E9" s="74"/>
      <c r="F9" s="122"/>
    </row>
    <row r="10" spans="1:13" ht="14.4" x14ac:dyDescent="0.3">
      <c r="B10" s="128">
        <v>5</v>
      </c>
      <c r="C10" s="130"/>
      <c r="D10" s="74"/>
      <c r="E10" s="74"/>
      <c r="F10" s="122"/>
    </row>
    <row r="11" spans="1:13" ht="14.4" x14ac:dyDescent="0.3">
      <c r="B11" s="129">
        <v>6</v>
      </c>
      <c r="C11" s="130"/>
      <c r="D11" s="74"/>
      <c r="E11" s="74"/>
      <c r="F11" s="122"/>
    </row>
    <row r="12" spans="1:13" ht="14.4" x14ac:dyDescent="0.3">
      <c r="B12" s="128">
        <v>7</v>
      </c>
      <c r="C12" s="130"/>
      <c r="D12" s="74"/>
      <c r="E12" s="74"/>
      <c r="F12" s="122"/>
    </row>
    <row r="13" spans="1:13" ht="14.4" x14ac:dyDescent="0.3">
      <c r="B13" s="129">
        <v>8</v>
      </c>
      <c r="C13" s="130"/>
      <c r="D13" s="74"/>
      <c r="E13" s="74"/>
      <c r="F13" s="122"/>
    </row>
    <row r="14" spans="1:13" ht="14.4" x14ac:dyDescent="0.3">
      <c r="B14" s="128">
        <v>9</v>
      </c>
      <c r="C14" s="130"/>
      <c r="D14" s="74"/>
      <c r="E14" s="74"/>
      <c r="F14" s="122"/>
    </row>
    <row r="15" spans="1:13" ht="14.4" x14ac:dyDescent="0.3">
      <c r="B15" s="129">
        <v>10</v>
      </c>
      <c r="C15" s="130"/>
      <c r="D15" s="74"/>
      <c r="E15" s="74"/>
      <c r="F15" s="122"/>
    </row>
    <row r="16" spans="1:13" ht="14.4" x14ac:dyDescent="0.3">
      <c r="B16" s="128">
        <v>11</v>
      </c>
      <c r="C16" s="130"/>
      <c r="D16" s="74"/>
      <c r="E16" s="74"/>
      <c r="F16" s="122"/>
    </row>
    <row r="17" spans="2:6" ht="14.4" x14ac:dyDescent="0.3">
      <c r="B17" s="129">
        <v>12</v>
      </c>
      <c r="C17" s="131"/>
      <c r="D17" s="123"/>
      <c r="E17" s="123"/>
      <c r="F17" s="124"/>
    </row>
    <row r="18" spans="2:6" ht="14.4" x14ac:dyDescent="0.3">
      <c r="B18" s="128">
        <v>13</v>
      </c>
      <c r="C18" s="121"/>
      <c r="D18" s="125"/>
      <c r="E18" s="126"/>
      <c r="F18" s="127"/>
    </row>
    <row r="19" spans="2:6" ht="14.4" x14ac:dyDescent="0.3">
      <c r="B19" s="129">
        <v>14</v>
      </c>
      <c r="C19" s="130"/>
      <c r="D19" s="74"/>
      <c r="E19" s="74"/>
      <c r="F19" s="122"/>
    </row>
    <row r="20" spans="2:6" ht="14.4" x14ac:dyDescent="0.3">
      <c r="B20" s="128">
        <v>15</v>
      </c>
      <c r="C20" s="130"/>
      <c r="D20" s="74"/>
      <c r="E20" s="74"/>
      <c r="F20" s="122"/>
    </row>
    <row r="21" spans="2:6" ht="14.4" x14ac:dyDescent="0.3">
      <c r="B21" s="129">
        <v>16</v>
      </c>
      <c r="C21" s="130"/>
      <c r="D21" s="74"/>
      <c r="E21" s="74"/>
      <c r="F21" s="122"/>
    </row>
    <row r="22" spans="2:6" ht="14.4" x14ac:dyDescent="0.3">
      <c r="B22" s="128">
        <v>17</v>
      </c>
      <c r="C22" s="130"/>
      <c r="D22" s="74"/>
      <c r="E22" s="74"/>
      <c r="F22" s="122"/>
    </row>
    <row r="23" spans="2:6" ht="14.4" x14ac:dyDescent="0.3">
      <c r="B23" s="129">
        <v>18</v>
      </c>
      <c r="C23" s="130"/>
      <c r="D23" s="74"/>
      <c r="E23" s="74"/>
      <c r="F23" s="122"/>
    </row>
    <row r="24" spans="2:6" ht="14.4" x14ac:dyDescent="0.3">
      <c r="B24" s="128">
        <v>19</v>
      </c>
      <c r="C24" s="130"/>
      <c r="D24" s="74"/>
      <c r="E24" s="74"/>
      <c r="F24" s="122"/>
    </row>
    <row r="25" spans="2:6" ht="14.4" x14ac:dyDescent="0.3">
      <c r="B25" s="129">
        <v>20</v>
      </c>
      <c r="C25" s="130"/>
      <c r="D25" s="74"/>
      <c r="E25" s="74"/>
      <c r="F25" s="122"/>
    </row>
    <row r="26" spans="2:6" ht="14.4" x14ac:dyDescent="0.3">
      <c r="B26" s="128">
        <v>21</v>
      </c>
      <c r="C26" s="130"/>
      <c r="D26" s="74"/>
      <c r="E26" s="74"/>
      <c r="F26" s="122"/>
    </row>
    <row r="27" spans="2:6" ht="14.4" x14ac:dyDescent="0.3">
      <c r="B27" s="129">
        <v>22</v>
      </c>
      <c r="C27" s="130"/>
      <c r="D27" s="74"/>
      <c r="E27" s="74"/>
      <c r="F27" s="122"/>
    </row>
    <row r="28" spans="2:6" ht="14.4" x14ac:dyDescent="0.3">
      <c r="B28" s="128">
        <v>23</v>
      </c>
      <c r="C28" s="130"/>
      <c r="D28" s="74"/>
      <c r="E28" s="74"/>
      <c r="F28" s="122"/>
    </row>
    <row r="29" spans="2:6" ht="14.4" x14ac:dyDescent="0.3">
      <c r="B29" s="129">
        <v>24</v>
      </c>
      <c r="C29" s="131"/>
      <c r="D29" s="123"/>
      <c r="E29" s="123"/>
      <c r="F29" s="124"/>
    </row>
    <row r="30" spans="2:6" ht="14.4" x14ac:dyDescent="0.3">
      <c r="B30" s="128">
        <v>25</v>
      </c>
      <c r="C30" s="121"/>
      <c r="D30" s="125"/>
      <c r="E30" s="126"/>
      <c r="F30" s="127"/>
    </row>
    <row r="31" spans="2:6" ht="14.4" x14ac:dyDescent="0.3">
      <c r="B31" s="129">
        <v>26</v>
      </c>
      <c r="C31" s="130"/>
      <c r="D31" s="74"/>
      <c r="E31" s="74"/>
      <c r="F31" s="122"/>
    </row>
    <row r="32" spans="2:6" ht="14.4" x14ac:dyDescent="0.3">
      <c r="B32" s="128">
        <v>27</v>
      </c>
      <c r="C32" s="130"/>
      <c r="D32" s="74"/>
      <c r="E32" s="74"/>
      <c r="F32" s="122"/>
    </row>
    <row r="33" spans="2:6" ht="14.4" x14ac:dyDescent="0.3">
      <c r="B33" s="128">
        <v>28</v>
      </c>
      <c r="C33" s="121"/>
      <c r="D33" s="125"/>
      <c r="E33" s="126"/>
      <c r="F33" s="127"/>
    </row>
    <row r="34" spans="2:6" ht="14.4" x14ac:dyDescent="0.3">
      <c r="B34" s="129">
        <v>29</v>
      </c>
      <c r="C34" s="130"/>
      <c r="D34" s="74"/>
      <c r="E34" s="74"/>
      <c r="F34" s="122"/>
    </row>
    <row r="35" spans="2:6" ht="14.4" x14ac:dyDescent="0.3">
      <c r="B35" s="128">
        <v>30</v>
      </c>
      <c r="C35" s="130"/>
      <c r="D35" s="74"/>
      <c r="E35" s="74"/>
      <c r="F35" s="122"/>
    </row>
    <row r="36" spans="2:6" ht="14.4" x14ac:dyDescent="0.3">
      <c r="B36" s="128">
        <v>31</v>
      </c>
      <c r="C36" s="121"/>
      <c r="D36" s="125"/>
      <c r="E36" s="126"/>
      <c r="F36" s="127"/>
    </row>
    <row r="37" spans="2:6" ht="14.4" x14ac:dyDescent="0.3">
      <c r="B37" s="129">
        <v>32</v>
      </c>
      <c r="C37" s="130"/>
      <c r="D37" s="74"/>
      <c r="E37" s="74"/>
      <c r="F37" s="122"/>
    </row>
    <row r="38" spans="2:6" ht="14.4" x14ac:dyDescent="0.3">
      <c r="B38" s="128">
        <v>33</v>
      </c>
      <c r="C38" s="130"/>
      <c r="D38" s="74"/>
      <c r="E38" s="74"/>
      <c r="F38" s="122"/>
    </row>
    <row r="39" spans="2:6" ht="14.4" x14ac:dyDescent="0.3">
      <c r="B39" s="128">
        <v>34</v>
      </c>
      <c r="C39" s="121"/>
      <c r="D39" s="125"/>
      <c r="E39" s="126"/>
      <c r="F39" s="127"/>
    </row>
    <row r="40" spans="2:6" ht="14.4" x14ac:dyDescent="0.3">
      <c r="B40" s="129">
        <v>35</v>
      </c>
      <c r="C40" s="130"/>
      <c r="D40" s="74"/>
      <c r="E40" s="74"/>
      <c r="F40" s="122"/>
    </row>
    <row r="41" spans="2:6" ht="14.4" x14ac:dyDescent="0.3">
      <c r="B41" s="128">
        <v>36</v>
      </c>
      <c r="C41" s="130"/>
      <c r="D41" s="74"/>
      <c r="E41" s="74"/>
      <c r="F41" s="122"/>
    </row>
    <row r="42" spans="2:6" ht="14.4" x14ac:dyDescent="0.3">
      <c r="B42" s="128">
        <v>37</v>
      </c>
      <c r="C42" s="121"/>
      <c r="D42" s="125"/>
      <c r="E42" s="126"/>
      <c r="F42" s="127"/>
    </row>
    <row r="43" spans="2:6" ht="14.4" x14ac:dyDescent="0.3">
      <c r="B43" s="129">
        <v>38</v>
      </c>
      <c r="C43" s="130"/>
      <c r="D43" s="74"/>
      <c r="E43" s="74"/>
      <c r="F43" s="122"/>
    </row>
    <row r="44" spans="2:6" ht="14.4" x14ac:dyDescent="0.3">
      <c r="B44" s="128">
        <v>39</v>
      </c>
      <c r="C44" s="130"/>
      <c r="D44" s="74"/>
      <c r="E44" s="74"/>
      <c r="F44" s="122"/>
    </row>
    <row r="45" spans="2:6" ht="14.4" x14ac:dyDescent="0.3">
      <c r="B45" s="128">
        <v>40</v>
      </c>
      <c r="C45" s="121"/>
      <c r="D45" s="125"/>
      <c r="E45" s="126"/>
      <c r="F45" s="127"/>
    </row>
    <row r="46" spans="2:6" ht="14.4" x14ac:dyDescent="0.3">
      <c r="B46" s="129">
        <v>41</v>
      </c>
      <c r="C46" s="130"/>
      <c r="D46" s="74"/>
      <c r="E46" s="74"/>
      <c r="F46" s="122"/>
    </row>
    <row r="47" spans="2:6" ht="14.4" x14ac:dyDescent="0.3">
      <c r="B47" s="128">
        <v>42</v>
      </c>
      <c r="C47" s="130"/>
      <c r="D47" s="74"/>
      <c r="E47" s="74"/>
      <c r="F47" s="122"/>
    </row>
    <row r="48" spans="2:6" ht="14.4" x14ac:dyDescent="0.3">
      <c r="B48" s="129">
        <v>43</v>
      </c>
      <c r="C48" s="130"/>
      <c r="D48" s="74"/>
      <c r="E48" s="74"/>
      <c r="F48" s="122"/>
    </row>
    <row r="49" spans="2:6" ht="14.4" x14ac:dyDescent="0.3">
      <c r="B49" s="128">
        <v>44</v>
      </c>
      <c r="C49" s="130"/>
      <c r="D49" s="74"/>
      <c r="E49" s="74"/>
      <c r="F49" s="122"/>
    </row>
    <row r="50" spans="2:6" ht="14.4" x14ac:dyDescent="0.3">
      <c r="B50" s="129">
        <v>45</v>
      </c>
      <c r="C50" s="130"/>
      <c r="D50" s="74"/>
      <c r="E50" s="74"/>
      <c r="F50" s="122"/>
    </row>
    <row r="51" spans="2:6" ht="14.4" x14ac:dyDescent="0.3">
      <c r="B51" s="128">
        <v>46</v>
      </c>
      <c r="C51" s="130"/>
      <c r="D51" s="74"/>
      <c r="E51" s="74"/>
      <c r="F51" s="122"/>
    </row>
    <row r="52" spans="2:6" ht="14.4" x14ac:dyDescent="0.3">
      <c r="B52" s="129">
        <v>47</v>
      </c>
      <c r="C52" s="130"/>
      <c r="D52" s="74"/>
      <c r="E52" s="74"/>
      <c r="F52" s="122"/>
    </row>
    <row r="53" spans="2:6" ht="14.4" x14ac:dyDescent="0.3">
      <c r="B53" s="128">
        <v>48</v>
      </c>
      <c r="C53" s="130"/>
      <c r="D53" s="74"/>
      <c r="E53" s="74"/>
      <c r="F53" s="122"/>
    </row>
    <row r="54" spans="2:6" ht="14.4" x14ac:dyDescent="0.3">
      <c r="B54" s="129">
        <v>49</v>
      </c>
      <c r="C54" s="130"/>
      <c r="D54" s="74"/>
      <c r="E54" s="74"/>
      <c r="F54" s="122"/>
    </row>
    <row r="55" spans="2:6" ht="14.4" x14ac:dyDescent="0.3">
      <c r="B55" s="128">
        <v>50</v>
      </c>
      <c r="C55" s="130"/>
      <c r="D55" s="74"/>
      <c r="E55" s="74"/>
      <c r="F55" s="122"/>
    </row>
    <row r="56" spans="2:6" ht="14.4" x14ac:dyDescent="0.3">
      <c r="B56" s="129">
        <v>51</v>
      </c>
      <c r="C56" s="130"/>
      <c r="D56" s="74"/>
      <c r="E56" s="74"/>
      <c r="F56" s="122"/>
    </row>
    <row r="57" spans="2:6" ht="14.4" x14ac:dyDescent="0.3">
      <c r="B57" s="128">
        <v>52</v>
      </c>
      <c r="C57" s="130"/>
      <c r="D57" s="74"/>
      <c r="E57" s="74"/>
      <c r="F57" s="122"/>
    </row>
    <row r="58" spans="2:6" ht="14.4" x14ac:dyDescent="0.3">
      <c r="B58" s="129">
        <v>53</v>
      </c>
      <c r="C58" s="130"/>
      <c r="D58" s="74"/>
      <c r="E58" s="74"/>
      <c r="F58" s="122"/>
    </row>
    <row r="59" spans="2:6" ht="14.4" x14ac:dyDescent="0.3">
      <c r="B59" s="128">
        <v>54</v>
      </c>
      <c r="C59" s="130"/>
      <c r="D59" s="74"/>
      <c r="E59" s="74"/>
      <c r="F59" s="122"/>
    </row>
    <row r="60" spans="2:6" ht="14.4" x14ac:dyDescent="0.3">
      <c r="B60" s="129">
        <v>55</v>
      </c>
      <c r="C60" s="130"/>
      <c r="D60" s="74"/>
      <c r="E60" s="74"/>
      <c r="F60" s="122"/>
    </row>
    <row r="61" spans="2:6" ht="14.4" x14ac:dyDescent="0.3">
      <c r="B61" s="128">
        <v>56</v>
      </c>
      <c r="C61" s="130"/>
      <c r="D61" s="74"/>
      <c r="E61" s="74"/>
      <c r="F61" s="122"/>
    </row>
    <row r="62" spans="2:6" ht="14.4" x14ac:dyDescent="0.3">
      <c r="B62" s="129">
        <v>57</v>
      </c>
      <c r="C62" s="130"/>
      <c r="D62" s="74"/>
      <c r="E62" s="74"/>
      <c r="F62" s="122"/>
    </row>
    <row r="63" spans="2:6" ht="14.4" x14ac:dyDescent="0.3">
      <c r="B63" s="128">
        <v>58</v>
      </c>
      <c r="C63" s="130"/>
      <c r="D63" s="74"/>
      <c r="E63" s="74"/>
      <c r="F63" s="122"/>
    </row>
    <row r="64" spans="2:6" ht="14.4" x14ac:dyDescent="0.3">
      <c r="B64" s="129">
        <v>59</v>
      </c>
      <c r="C64" s="130"/>
      <c r="D64" s="74"/>
      <c r="E64" s="74"/>
      <c r="F64" s="122"/>
    </row>
    <row r="65" spans="2:6" ht="14.4" x14ac:dyDescent="0.3">
      <c r="B65" s="128">
        <v>60</v>
      </c>
      <c r="C65" s="130"/>
      <c r="D65" s="74"/>
      <c r="E65" s="74"/>
      <c r="F65" s="122"/>
    </row>
    <row r="66" spans="2:6" ht="14.4" x14ac:dyDescent="0.3">
      <c r="B66" s="129">
        <v>61</v>
      </c>
      <c r="C66" s="130"/>
      <c r="D66" s="74"/>
      <c r="E66" s="74"/>
      <c r="F66" s="122"/>
    </row>
    <row r="67" spans="2:6" ht="14.4" x14ac:dyDescent="0.3">
      <c r="B67" s="128">
        <v>62</v>
      </c>
      <c r="C67" s="130"/>
      <c r="D67" s="74"/>
      <c r="E67" s="74"/>
      <c r="F67" s="122"/>
    </row>
    <row r="68" spans="2:6" ht="14.4" x14ac:dyDescent="0.3">
      <c r="B68" s="129">
        <v>63</v>
      </c>
      <c r="C68" s="130"/>
      <c r="D68" s="74"/>
      <c r="E68" s="74"/>
      <c r="F68" s="122"/>
    </row>
    <row r="69" spans="2:6" ht="14.4" x14ac:dyDescent="0.3">
      <c r="B69" s="128">
        <v>64</v>
      </c>
      <c r="C69" s="130"/>
      <c r="D69" s="74"/>
      <c r="E69" s="74"/>
      <c r="F69" s="122"/>
    </row>
    <row r="70" spans="2:6" ht="14.4" x14ac:dyDescent="0.3">
      <c r="B70" s="129">
        <v>65</v>
      </c>
      <c r="C70" s="130"/>
      <c r="D70" s="74"/>
      <c r="E70" s="74"/>
      <c r="F70" s="122"/>
    </row>
    <row r="71" spans="2:6" ht="14.4" x14ac:dyDescent="0.3">
      <c r="B71" s="128">
        <v>66</v>
      </c>
      <c r="C71" s="130"/>
      <c r="D71" s="74"/>
      <c r="E71" s="74"/>
      <c r="F71" s="122"/>
    </row>
    <row r="72" spans="2:6" ht="14.4" x14ac:dyDescent="0.3">
      <c r="B72" s="129">
        <v>67</v>
      </c>
      <c r="C72" s="130"/>
      <c r="D72" s="74"/>
      <c r="E72" s="74"/>
      <c r="F72" s="122"/>
    </row>
    <row r="73" spans="2:6" ht="14.4" x14ac:dyDescent="0.3">
      <c r="B73" s="128">
        <v>68</v>
      </c>
      <c r="C73" s="130"/>
      <c r="D73" s="74"/>
      <c r="E73" s="74"/>
      <c r="F73" s="122"/>
    </row>
    <row r="74" spans="2:6" ht="14.4" x14ac:dyDescent="0.3">
      <c r="B74" s="129">
        <v>69</v>
      </c>
      <c r="C74" s="130"/>
      <c r="D74" s="74"/>
      <c r="E74" s="74"/>
      <c r="F74" s="122"/>
    </row>
    <row r="75" spans="2:6" ht="14.4" x14ac:dyDescent="0.3">
      <c r="B75" s="128">
        <v>70</v>
      </c>
      <c r="C75" s="130"/>
      <c r="D75" s="74"/>
      <c r="E75" s="74"/>
      <c r="F75" s="122"/>
    </row>
    <row r="76" spans="2:6" ht="14.4" x14ac:dyDescent="0.3">
      <c r="B76" s="129">
        <v>71</v>
      </c>
      <c r="C76" s="130"/>
      <c r="D76" s="74"/>
      <c r="E76" s="74"/>
      <c r="F76" s="122"/>
    </row>
    <row r="77" spans="2:6" ht="14.4" x14ac:dyDescent="0.3">
      <c r="B77" s="128">
        <v>72</v>
      </c>
      <c r="C77" s="130"/>
      <c r="D77" s="74"/>
      <c r="E77" s="74"/>
      <c r="F77" s="122"/>
    </row>
    <row r="78" spans="2:6" ht="14.4" x14ac:dyDescent="0.3">
      <c r="B78" s="129">
        <v>73</v>
      </c>
      <c r="C78" s="130"/>
      <c r="D78" s="74"/>
      <c r="E78" s="74"/>
      <c r="F78" s="122"/>
    </row>
    <row r="79" spans="2:6" ht="14.4" x14ac:dyDescent="0.3">
      <c r="B79" s="128">
        <v>74</v>
      </c>
      <c r="C79" s="130"/>
      <c r="D79" s="74"/>
      <c r="E79" s="74"/>
      <c r="F79" s="122"/>
    </row>
    <row r="80" spans="2:6" ht="14.4" x14ac:dyDescent="0.3">
      <c r="B80" s="129">
        <v>75</v>
      </c>
      <c r="C80" s="130"/>
      <c r="D80" s="74"/>
      <c r="E80" s="74"/>
      <c r="F80" s="122"/>
    </row>
    <row r="81" spans="2:6" ht="14.4" x14ac:dyDescent="0.3">
      <c r="B81" s="128">
        <v>76</v>
      </c>
      <c r="C81" s="130"/>
      <c r="D81" s="74"/>
      <c r="E81" s="74"/>
      <c r="F81" s="122"/>
    </row>
    <row r="82" spans="2:6" ht="14.4" x14ac:dyDescent="0.3">
      <c r="B82" s="129">
        <v>77</v>
      </c>
      <c r="C82" s="130"/>
      <c r="D82" s="74"/>
      <c r="E82" s="74"/>
      <c r="F82" s="122"/>
    </row>
    <row r="83" spans="2:6" ht="14.4" x14ac:dyDescent="0.3">
      <c r="B83" s="128">
        <v>78</v>
      </c>
      <c r="C83" s="130"/>
      <c r="D83" s="74"/>
      <c r="E83" s="74"/>
      <c r="F83" s="122"/>
    </row>
    <row r="84" spans="2:6" ht="14.4" x14ac:dyDescent="0.3">
      <c r="B84" s="129">
        <v>79</v>
      </c>
      <c r="C84" s="130"/>
      <c r="D84" s="74"/>
      <c r="E84" s="74"/>
      <c r="F84" s="122"/>
    </row>
    <row r="85" spans="2:6" ht="14.4" x14ac:dyDescent="0.3">
      <c r="B85" s="128">
        <v>80</v>
      </c>
      <c r="C85" s="130"/>
      <c r="D85" s="74"/>
      <c r="E85" s="74"/>
      <c r="F85" s="122"/>
    </row>
    <row r="86" spans="2:6" ht="14.4" x14ac:dyDescent="0.3">
      <c r="B86" s="129">
        <v>81</v>
      </c>
      <c r="C86" s="130"/>
      <c r="D86" s="74"/>
      <c r="E86" s="74"/>
      <c r="F86" s="122"/>
    </row>
    <row r="87" spans="2:6" ht="14.4" x14ac:dyDescent="0.3">
      <c r="B87" s="128">
        <v>82</v>
      </c>
      <c r="C87" s="130"/>
      <c r="D87" s="74"/>
      <c r="E87" s="74"/>
      <c r="F87" s="122"/>
    </row>
    <row r="88" spans="2:6" ht="14.4" x14ac:dyDescent="0.3">
      <c r="B88" s="129">
        <v>83</v>
      </c>
      <c r="C88" s="130"/>
      <c r="D88" s="74"/>
      <c r="E88" s="74"/>
      <c r="F88" s="122"/>
    </row>
    <row r="89" spans="2:6" ht="14.4" x14ac:dyDescent="0.3">
      <c r="B89" s="128">
        <v>84</v>
      </c>
      <c r="C89" s="130"/>
      <c r="D89" s="74"/>
      <c r="E89" s="74"/>
      <c r="F89" s="122"/>
    </row>
    <row r="90" spans="2:6" ht="14.4" x14ac:dyDescent="0.3">
      <c r="B90" s="129">
        <v>85</v>
      </c>
      <c r="C90" s="130"/>
      <c r="D90" s="74"/>
      <c r="E90" s="74"/>
      <c r="F90" s="122"/>
    </row>
    <row r="91" spans="2:6" ht="14.4" x14ac:dyDescent="0.3">
      <c r="B91" s="128">
        <v>86</v>
      </c>
      <c r="C91" s="130"/>
      <c r="D91" s="74"/>
      <c r="E91" s="74"/>
      <c r="F91" s="122"/>
    </row>
    <row r="92" spans="2:6" ht="14.4" x14ac:dyDescent="0.3">
      <c r="B92" s="129">
        <v>87</v>
      </c>
      <c r="C92" s="130"/>
      <c r="D92" s="74"/>
      <c r="E92" s="74"/>
      <c r="F92" s="122"/>
    </row>
    <row r="93" spans="2:6" ht="14.4" x14ac:dyDescent="0.3">
      <c r="B93" s="128">
        <v>88</v>
      </c>
      <c r="C93" s="130"/>
      <c r="D93" s="74"/>
      <c r="E93" s="74"/>
      <c r="F93" s="122"/>
    </row>
    <row r="94" spans="2:6" ht="14.4" x14ac:dyDescent="0.3">
      <c r="B94" s="129">
        <v>89</v>
      </c>
      <c r="C94" s="130"/>
      <c r="D94" s="74"/>
      <c r="E94" s="74"/>
      <c r="F94" s="122"/>
    </row>
    <row r="95" spans="2:6" ht="14.4" x14ac:dyDescent="0.3">
      <c r="B95" s="128">
        <v>90</v>
      </c>
      <c r="C95" s="130"/>
      <c r="D95" s="74"/>
      <c r="E95" s="74"/>
      <c r="F95" s="122"/>
    </row>
    <row r="96" spans="2:6" ht="14.4" x14ac:dyDescent="0.3">
      <c r="B96" s="129">
        <v>91</v>
      </c>
      <c r="C96" s="130"/>
      <c r="D96" s="74"/>
      <c r="E96" s="74"/>
      <c r="F96" s="122"/>
    </row>
    <row r="97" spans="2:6" ht="14.4" x14ac:dyDescent="0.3">
      <c r="B97" s="128">
        <v>92</v>
      </c>
      <c r="C97" s="130"/>
      <c r="D97" s="74"/>
      <c r="E97" s="74"/>
      <c r="F97" s="122"/>
    </row>
    <row r="98" spans="2:6" ht="14.4" x14ac:dyDescent="0.3">
      <c r="B98" s="129">
        <v>93</v>
      </c>
      <c r="C98" s="130"/>
      <c r="D98" s="74"/>
      <c r="E98" s="74"/>
      <c r="F98" s="122"/>
    </row>
    <row r="99" spans="2:6" ht="14.4" x14ac:dyDescent="0.3">
      <c r="B99" s="128">
        <v>94</v>
      </c>
      <c r="C99" s="130"/>
      <c r="D99" s="74"/>
      <c r="E99" s="74"/>
      <c r="F99" s="122"/>
    </row>
    <row r="100" spans="2:6" ht="14.4" x14ac:dyDescent="0.3">
      <c r="B100" s="129">
        <v>95</v>
      </c>
      <c r="C100" s="130"/>
      <c r="D100" s="74"/>
      <c r="E100" s="74"/>
      <c r="F100" s="122"/>
    </row>
    <row r="101" spans="2:6" ht="14.4" x14ac:dyDescent="0.3">
      <c r="B101" s="128">
        <v>96</v>
      </c>
      <c r="C101" s="130"/>
      <c r="D101" s="74"/>
      <c r="E101" s="74"/>
      <c r="F101" s="122"/>
    </row>
    <row r="102" spans="2:6" ht="14.4" x14ac:dyDescent="0.3">
      <c r="B102" s="129">
        <v>97</v>
      </c>
      <c r="C102" s="130"/>
      <c r="D102" s="74"/>
      <c r="E102" s="74"/>
      <c r="F102" s="122"/>
    </row>
    <row r="103" spans="2:6" ht="14.4" x14ac:dyDescent="0.3">
      <c r="B103" s="128">
        <v>98</v>
      </c>
      <c r="C103" s="130"/>
      <c r="D103" s="74"/>
      <c r="E103" s="74"/>
      <c r="F103" s="122"/>
    </row>
    <row r="104" spans="2:6" ht="14.4" x14ac:dyDescent="0.3">
      <c r="B104" s="129">
        <v>99</v>
      </c>
      <c r="C104" s="130"/>
      <c r="D104" s="74"/>
      <c r="E104" s="74"/>
      <c r="F104" s="122"/>
    </row>
    <row r="105" spans="2:6" ht="14.4" x14ac:dyDescent="0.3">
      <c r="B105" s="128">
        <v>100</v>
      </c>
      <c r="C105" s="130"/>
      <c r="D105" s="74"/>
      <c r="E105" s="74"/>
      <c r="F105" s="122"/>
    </row>
    <row r="106" spans="2:6" ht="14.4" x14ac:dyDescent="0.3">
      <c r="B106" s="129">
        <v>101</v>
      </c>
      <c r="C106" s="130"/>
      <c r="D106" s="74"/>
      <c r="E106" s="74"/>
      <c r="F106" s="122"/>
    </row>
    <row r="107" spans="2:6" ht="14.4" x14ac:dyDescent="0.3">
      <c r="B107" s="128">
        <v>102</v>
      </c>
      <c r="C107" s="130"/>
      <c r="D107" s="74"/>
      <c r="E107" s="74"/>
      <c r="F107" s="122"/>
    </row>
    <row r="108" spans="2:6" ht="14.4" x14ac:dyDescent="0.3">
      <c r="B108" s="129">
        <v>103</v>
      </c>
      <c r="C108" s="130"/>
      <c r="D108" s="74"/>
      <c r="E108" s="74"/>
      <c r="F108" s="122"/>
    </row>
    <row r="109" spans="2:6" ht="14.4" x14ac:dyDescent="0.3">
      <c r="B109" s="128">
        <v>104</v>
      </c>
      <c r="C109" s="130"/>
      <c r="D109" s="74"/>
      <c r="E109" s="74"/>
      <c r="F109" s="122"/>
    </row>
    <row r="110" spans="2:6" ht="14.4" x14ac:dyDescent="0.3">
      <c r="B110" s="129">
        <v>105</v>
      </c>
      <c r="C110" s="130"/>
      <c r="D110" s="74"/>
      <c r="E110" s="74"/>
      <c r="F110" s="122"/>
    </row>
    <row r="111" spans="2:6" ht="14.4" x14ac:dyDescent="0.3">
      <c r="B111" s="128">
        <v>106</v>
      </c>
      <c r="C111" s="130"/>
      <c r="D111" s="74"/>
      <c r="E111" s="74"/>
      <c r="F111" s="122"/>
    </row>
    <row r="112" spans="2:6" ht="14.4" x14ac:dyDescent="0.3">
      <c r="B112" s="129">
        <v>107</v>
      </c>
      <c r="C112" s="130"/>
      <c r="D112" s="74"/>
      <c r="E112" s="74"/>
      <c r="F112" s="122"/>
    </row>
    <row r="113" spans="2:6" ht="14.4" x14ac:dyDescent="0.3">
      <c r="B113" s="128">
        <v>108</v>
      </c>
      <c r="C113" s="130"/>
      <c r="D113" s="74"/>
      <c r="E113" s="74"/>
      <c r="F113" s="122"/>
    </row>
    <row r="114" spans="2:6" ht="14.4" x14ac:dyDescent="0.3">
      <c r="B114" s="129">
        <v>109</v>
      </c>
      <c r="C114" s="130"/>
      <c r="D114" s="74"/>
      <c r="E114" s="74"/>
      <c r="F114" s="122"/>
    </row>
    <row r="115" spans="2:6" ht="14.4" x14ac:dyDescent="0.3">
      <c r="B115" s="128">
        <v>110</v>
      </c>
      <c r="C115" s="130"/>
      <c r="D115" s="74"/>
      <c r="E115" s="74"/>
      <c r="F115" s="122"/>
    </row>
    <row r="116" spans="2:6" ht="14.4" x14ac:dyDescent="0.3">
      <c r="B116" s="129">
        <v>111</v>
      </c>
      <c r="C116" s="130"/>
      <c r="D116" s="74"/>
      <c r="E116" s="74"/>
      <c r="F116" s="122"/>
    </row>
    <row r="117" spans="2:6" ht="14.4" x14ac:dyDescent="0.3">
      <c r="B117" s="128">
        <v>112</v>
      </c>
      <c r="C117" s="130"/>
      <c r="D117" s="74"/>
      <c r="E117" s="74"/>
      <c r="F117" s="122"/>
    </row>
    <row r="118" spans="2:6" ht="14.4" x14ac:dyDescent="0.3">
      <c r="B118" s="129">
        <v>113</v>
      </c>
      <c r="C118" s="130"/>
      <c r="D118" s="74"/>
      <c r="E118" s="74"/>
      <c r="F118" s="122"/>
    </row>
    <row r="119" spans="2:6" ht="14.4" x14ac:dyDescent="0.3">
      <c r="B119" s="128">
        <v>114</v>
      </c>
      <c r="C119" s="130"/>
      <c r="D119" s="74"/>
      <c r="E119" s="74"/>
      <c r="F119" s="122"/>
    </row>
    <row r="120" spans="2:6" ht="14.4" x14ac:dyDescent="0.3">
      <c r="B120" s="129">
        <v>115</v>
      </c>
      <c r="C120" s="130"/>
      <c r="D120" s="74"/>
      <c r="E120" s="74"/>
      <c r="F120" s="122"/>
    </row>
    <row r="121" spans="2:6" ht="14.4" x14ac:dyDescent="0.3">
      <c r="B121" s="128">
        <v>116</v>
      </c>
      <c r="C121" s="130"/>
      <c r="D121" s="74"/>
      <c r="E121" s="74"/>
      <c r="F121" s="122"/>
    </row>
    <row r="122" spans="2:6" ht="14.4" x14ac:dyDescent="0.3">
      <c r="B122" s="129">
        <v>117</v>
      </c>
      <c r="C122" s="130"/>
      <c r="D122" s="74"/>
      <c r="E122" s="74"/>
      <c r="F122" s="122"/>
    </row>
    <row r="123" spans="2:6" ht="14.4" x14ac:dyDescent="0.3">
      <c r="B123" s="128">
        <v>118</v>
      </c>
      <c r="C123" s="130"/>
      <c r="D123" s="74"/>
      <c r="E123" s="74"/>
      <c r="F123" s="122"/>
    </row>
    <row r="124" spans="2:6" ht="14.4" x14ac:dyDescent="0.3">
      <c r="B124" s="129">
        <v>119</v>
      </c>
      <c r="C124" s="130"/>
      <c r="D124" s="74"/>
      <c r="E124" s="74"/>
      <c r="F124" s="122"/>
    </row>
    <row r="125" spans="2:6" ht="14.4" x14ac:dyDescent="0.3">
      <c r="B125" s="128">
        <v>120</v>
      </c>
      <c r="C125" s="130"/>
      <c r="D125" s="74"/>
      <c r="E125" s="74"/>
      <c r="F125" s="122"/>
    </row>
    <row r="126" spans="2:6" ht="14.4" x14ac:dyDescent="0.3">
      <c r="B126" s="129">
        <v>121</v>
      </c>
      <c r="C126" s="130"/>
      <c r="D126" s="74"/>
      <c r="E126" s="74"/>
      <c r="F126" s="122"/>
    </row>
    <row r="127" spans="2:6" ht="14.4" x14ac:dyDescent="0.3">
      <c r="B127" s="128">
        <v>122</v>
      </c>
      <c r="C127" s="130"/>
      <c r="D127" s="74"/>
      <c r="E127" s="74"/>
      <c r="F127" s="122"/>
    </row>
    <row r="128" spans="2:6" ht="14.4" x14ac:dyDescent="0.3">
      <c r="B128" s="129">
        <v>123</v>
      </c>
      <c r="C128" s="130"/>
      <c r="D128" s="74"/>
      <c r="E128" s="74"/>
      <c r="F128" s="122"/>
    </row>
    <row r="129" spans="2:6" ht="14.4" x14ac:dyDescent="0.3">
      <c r="B129" s="128">
        <v>124</v>
      </c>
      <c r="C129" s="130"/>
      <c r="D129" s="74"/>
      <c r="E129" s="74"/>
      <c r="F129" s="122"/>
    </row>
    <row r="130" spans="2:6" ht="14.4" x14ac:dyDescent="0.3">
      <c r="B130" s="129">
        <v>125</v>
      </c>
      <c r="C130" s="130"/>
      <c r="D130" s="74"/>
      <c r="E130" s="74"/>
      <c r="F130" s="122"/>
    </row>
    <row r="131" spans="2:6" ht="14.4" x14ac:dyDescent="0.3">
      <c r="B131" s="128">
        <v>126</v>
      </c>
      <c r="C131" s="130"/>
      <c r="D131" s="74"/>
      <c r="E131" s="74"/>
      <c r="F131" s="122"/>
    </row>
    <row r="132" spans="2:6" ht="14.4" x14ac:dyDescent="0.3">
      <c r="B132" s="129">
        <v>127</v>
      </c>
      <c r="C132" s="130"/>
      <c r="D132" s="74"/>
      <c r="E132" s="74"/>
      <c r="F132" s="122"/>
    </row>
    <row r="133" spans="2:6" ht="14.4" x14ac:dyDescent="0.3">
      <c r="B133" s="128">
        <v>128</v>
      </c>
      <c r="C133" s="130"/>
      <c r="D133" s="74"/>
      <c r="E133" s="74"/>
      <c r="F133" s="122"/>
    </row>
    <row r="134" spans="2:6" ht="14.4" x14ac:dyDescent="0.3">
      <c r="B134" s="129">
        <v>129</v>
      </c>
      <c r="C134" s="130"/>
      <c r="D134" s="74"/>
      <c r="E134" s="74"/>
      <c r="F134" s="122"/>
    </row>
    <row r="135" spans="2:6" ht="14.4" x14ac:dyDescent="0.3">
      <c r="B135" s="128">
        <v>130</v>
      </c>
      <c r="C135" s="130"/>
      <c r="D135" s="74"/>
      <c r="E135" s="74"/>
      <c r="F135" s="122"/>
    </row>
    <row r="136" spans="2:6" ht="14.4" x14ac:dyDescent="0.3">
      <c r="B136" s="129">
        <v>131</v>
      </c>
      <c r="C136" s="130"/>
      <c r="D136" s="74"/>
      <c r="E136" s="74"/>
      <c r="F136" s="122"/>
    </row>
    <row r="137" spans="2:6" ht="14.4" x14ac:dyDescent="0.3">
      <c r="B137" s="128">
        <v>132</v>
      </c>
      <c r="C137" s="130"/>
      <c r="D137" s="74"/>
      <c r="E137" s="74"/>
      <c r="F137" s="122"/>
    </row>
    <row r="138" spans="2:6" ht="14.4" x14ac:dyDescent="0.3">
      <c r="B138" s="129">
        <v>133</v>
      </c>
      <c r="C138" s="130"/>
      <c r="D138" s="74"/>
      <c r="E138" s="74"/>
      <c r="F138" s="122"/>
    </row>
    <row r="139" spans="2:6" ht="14.4" x14ac:dyDescent="0.3">
      <c r="B139" s="128">
        <v>134</v>
      </c>
      <c r="C139" s="130"/>
      <c r="D139" s="74"/>
      <c r="E139" s="74"/>
      <c r="F139" s="122"/>
    </row>
    <row r="140" spans="2:6" ht="14.4" x14ac:dyDescent="0.3">
      <c r="B140" s="129">
        <v>135</v>
      </c>
      <c r="C140" s="130"/>
      <c r="D140" s="74"/>
      <c r="E140" s="74"/>
      <c r="F140" s="122"/>
    </row>
    <row r="141" spans="2:6" ht="14.4" x14ac:dyDescent="0.3">
      <c r="B141" s="128">
        <v>136</v>
      </c>
      <c r="C141" s="130"/>
      <c r="D141" s="74"/>
      <c r="E141" s="74"/>
      <c r="F141" s="122"/>
    </row>
    <row r="142" spans="2:6" ht="14.4" x14ac:dyDescent="0.3">
      <c r="B142" s="129">
        <v>137</v>
      </c>
      <c r="C142" s="130"/>
      <c r="D142" s="74"/>
      <c r="E142" s="74"/>
      <c r="F142" s="122"/>
    </row>
    <row r="143" spans="2:6" ht="14.4" x14ac:dyDescent="0.3">
      <c r="B143" s="128">
        <v>138</v>
      </c>
      <c r="C143" s="130"/>
      <c r="D143" s="74"/>
      <c r="E143" s="74"/>
      <c r="F143" s="122"/>
    </row>
    <row r="144" spans="2:6" ht="14.4" x14ac:dyDescent="0.3">
      <c r="B144" s="129">
        <v>139</v>
      </c>
      <c r="C144" s="130"/>
      <c r="D144" s="74"/>
      <c r="E144" s="74"/>
      <c r="F144" s="122"/>
    </row>
    <row r="145" spans="2:6" ht="14.4" x14ac:dyDescent="0.3">
      <c r="B145" s="128">
        <v>140</v>
      </c>
      <c r="C145" s="130"/>
      <c r="D145" s="74"/>
      <c r="E145" s="74"/>
      <c r="F145" s="122"/>
    </row>
    <row r="146" spans="2:6" ht="14.4" x14ac:dyDescent="0.3">
      <c r="B146" s="129">
        <v>141</v>
      </c>
      <c r="C146" s="130"/>
      <c r="D146" s="74"/>
      <c r="E146" s="74"/>
      <c r="F146" s="122"/>
    </row>
    <row r="147" spans="2:6" ht="14.4" x14ac:dyDescent="0.3">
      <c r="B147" s="128">
        <v>142</v>
      </c>
      <c r="C147" s="130"/>
      <c r="D147" s="74"/>
      <c r="E147" s="74"/>
      <c r="F147" s="122"/>
    </row>
    <row r="148" spans="2:6" ht="14.4" x14ac:dyDescent="0.3">
      <c r="B148" s="129">
        <v>143</v>
      </c>
      <c r="C148" s="130"/>
      <c r="D148" s="74"/>
      <c r="E148" s="74"/>
      <c r="F148" s="122"/>
    </row>
    <row r="149" spans="2:6" ht="14.4" x14ac:dyDescent="0.3">
      <c r="B149" s="128">
        <v>144</v>
      </c>
      <c r="C149" s="130"/>
      <c r="D149" s="74"/>
      <c r="E149" s="74"/>
      <c r="F149" s="122"/>
    </row>
    <row r="150" spans="2:6" ht="14.4" x14ac:dyDescent="0.3">
      <c r="B150" s="129">
        <v>145</v>
      </c>
      <c r="C150" s="130"/>
      <c r="D150" s="74"/>
      <c r="E150" s="74"/>
      <c r="F150" s="122"/>
    </row>
    <row r="151" spans="2:6" ht="14.4" x14ac:dyDescent="0.3">
      <c r="B151" s="128">
        <v>146</v>
      </c>
      <c r="C151" s="130"/>
      <c r="D151" s="74"/>
      <c r="E151" s="74"/>
      <c r="F151" s="122"/>
    </row>
    <row r="152" spans="2:6" ht="14.4" x14ac:dyDescent="0.3">
      <c r="B152" s="129">
        <v>147</v>
      </c>
      <c r="C152" s="130"/>
      <c r="D152" s="74"/>
      <c r="E152" s="74"/>
      <c r="F152" s="122"/>
    </row>
    <row r="153" spans="2:6" ht="14.4" x14ac:dyDescent="0.3">
      <c r="B153" s="128">
        <v>148</v>
      </c>
      <c r="C153" s="130"/>
      <c r="D153" s="74"/>
      <c r="E153" s="74"/>
      <c r="F153" s="122"/>
    </row>
    <row r="154" spans="2:6" ht="14.4" x14ac:dyDescent="0.3">
      <c r="B154" s="129">
        <v>149</v>
      </c>
      <c r="C154" s="130"/>
      <c r="D154" s="74"/>
      <c r="E154" s="74"/>
      <c r="F154" s="122"/>
    </row>
    <row r="155" spans="2:6" ht="14.4" x14ac:dyDescent="0.3">
      <c r="B155" s="128">
        <v>150</v>
      </c>
      <c r="C155" s="130"/>
      <c r="D155" s="74"/>
      <c r="E155" s="74"/>
      <c r="F155" s="122"/>
    </row>
  </sheetData>
  <sheetProtection sheet="1" scenarios="1" formatCells="0" formatColumns="0" formatRows="0" insertColumns="0" insertRows="0" insertHyperlinks="0" deleteColumns="0" deleteRows="0" sort="0" autoFilter="0"/>
  <conditionalFormatting sqref="F5">
    <cfRule type="iconSet" priority="1">
      <iconSet iconSet="3Symbols2" showValue="0" reverse="1">
        <cfvo type="percent" val="0"/>
        <cfvo type="num" val="1.25"/>
        <cfvo type="num" val="2.25"/>
      </iconSet>
    </cfRule>
  </conditionalFormatting>
  <conditionalFormatting sqref="F6:F155">
    <cfRule type="iconSet" priority="17852">
      <iconSet iconSet="3Symbols2" showValue="0" reverse="1">
        <cfvo type="percent" val="0"/>
        <cfvo type="num" val="1.25"/>
        <cfvo type="num" val="2.25"/>
      </iconSet>
    </cfRule>
  </conditionalFormatting>
  <dataValidations count="2">
    <dataValidation type="list" allowBlank="1" showInputMessage="1" showErrorMessage="1" errorTitle="Choose 1, 2 or 3" sqref="F6:F155" xr:uid="{00000000-0002-0000-1500-000000000000}">
      <formula1>"1,2,3"</formula1>
    </dataValidation>
    <dataValidation allowBlank="1" showInputMessage="1" showErrorMessage="1" errorTitle="Choose 1, 2 or 3" sqref="F4:F5" xr:uid="{00000000-0002-0000-1500-000001000000}"/>
  </dataValidations>
  <pageMargins left="0.70866141732283472" right="0.70866141732283472" top="0.15748031496062992" bottom="0.55118110236220474" header="0.31496062992125984" footer="0.31496062992125984"/>
  <pageSetup paperSize="9" orientation="portrait" horizontalDpi="1200" verticalDpi="1200" r:id="rId1"/>
  <headerFooter>
    <oddFooter>&amp;L&amp;10&amp;K01+049&amp;D&amp;R&amp;10&amp;K01+032&amp;P/&amp;N</oddFooter>
  </headerFooter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500-000002000000}">
          <x14:formula1>
            <xm:f>Projektteam!$AP$1:$AP$26</xm:f>
          </x14:formula1>
          <xm:sqref>E6:E155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">
    <tabColor theme="6" tint="0.59999389629810485"/>
    <pageSetUpPr fitToPage="1"/>
  </sheetPr>
  <dimension ref="A1:X71"/>
  <sheetViews>
    <sheetView showGridLines="0" showRowColHeaders="0" zoomScaleNormal="100" workbookViewId="0">
      <pane ySplit="1" topLeftCell="A3" activePane="bottomLeft" state="frozen"/>
      <selection activeCell="C28" sqref="C28"/>
      <selection pane="bottomLeft" activeCell="B60" sqref="B60"/>
    </sheetView>
  </sheetViews>
  <sheetFormatPr baseColWidth="10" defaultColWidth="11.44140625" defaultRowHeight="14.4" x14ac:dyDescent="0.3"/>
  <cols>
    <col min="1" max="1" width="7" style="62" customWidth="1"/>
    <col min="2" max="2" width="4" style="73" customWidth="1"/>
    <col min="3" max="3" width="51.109375" style="73" customWidth="1"/>
    <col min="4" max="4" width="4.44140625" style="73" customWidth="1"/>
    <col min="5" max="9" width="2.88671875" style="849" bestFit="1" customWidth="1"/>
    <col min="10" max="14" width="2.88671875" style="850" bestFit="1" customWidth="1"/>
    <col min="15" max="15" width="4.109375" style="73" customWidth="1"/>
    <col min="16" max="16" width="51.109375" style="73" customWidth="1"/>
    <col min="17" max="17" width="4.44140625" style="73" customWidth="1"/>
    <col min="18" max="18" width="2.88671875" style="73" customWidth="1"/>
    <col min="19" max="19" width="5.44140625" style="73" customWidth="1"/>
    <col min="20" max="20" width="1.109375" style="73" customWidth="1"/>
    <col min="21" max="30" width="5.44140625" style="73" customWidth="1"/>
    <col min="31" max="31" width="29" style="73" customWidth="1"/>
    <col min="32" max="35" width="5.44140625" style="73" customWidth="1"/>
    <col min="36" max="36" width="4.109375" style="73" customWidth="1"/>
    <col min="37" max="48" width="5.44140625" style="73" customWidth="1"/>
    <col min="49" max="16384" width="11.44140625" style="73"/>
  </cols>
  <sheetData>
    <row r="1" spans="1:24" s="1" customFormat="1" ht="45" customHeight="1" x14ac:dyDescent="0.6">
      <c r="A1" s="13"/>
      <c r="B1" s="389" t="str">
        <f ca="1">' '!A334</f>
        <v>A N A L Y S E   S W O T</v>
      </c>
      <c r="C1" s="700"/>
      <c r="D1" s="843"/>
      <c r="E1" s="844"/>
      <c r="F1" s="844"/>
      <c r="G1" s="844"/>
      <c r="H1" s="844"/>
      <c r="I1" s="844"/>
      <c r="J1" s="845"/>
      <c r="K1" s="845"/>
      <c r="L1" s="845"/>
      <c r="M1" s="845"/>
      <c r="N1" s="845"/>
      <c r="O1" s="700"/>
      <c r="P1" s="700"/>
      <c r="Q1" s="392"/>
      <c r="R1" s="353"/>
      <c r="S1" s="353"/>
      <c r="T1" s="353"/>
      <c r="U1" s="353"/>
      <c r="V1" s="353"/>
      <c r="W1" s="353"/>
      <c r="X1" s="353"/>
    </row>
    <row r="2" spans="1:24" s="1" customFormat="1" ht="11.25" hidden="1" customHeight="1" x14ac:dyDescent="0.3">
      <c r="A2" s="13"/>
      <c r="B2" s="13"/>
      <c r="C2" s="13"/>
      <c r="D2" s="846"/>
      <c r="E2" s="847"/>
      <c r="F2" s="847"/>
      <c r="G2" s="847"/>
      <c r="H2" s="847"/>
      <c r="I2" s="847"/>
      <c r="J2" s="848"/>
      <c r="K2" s="848"/>
      <c r="L2" s="848"/>
      <c r="M2" s="848"/>
      <c r="N2" s="848"/>
      <c r="O2" s="13"/>
      <c r="P2" s="13"/>
      <c r="Q2" s="846"/>
      <c r="R2" s="352"/>
      <c r="S2" s="352"/>
      <c r="T2" s="352"/>
      <c r="U2" s="352"/>
      <c r="V2" s="352"/>
      <c r="W2" s="352"/>
      <c r="X2" s="352"/>
    </row>
    <row r="3" spans="1:24" ht="15" customHeight="1" x14ac:dyDescent="0.3">
      <c r="B3" s="401"/>
    </row>
    <row r="4" spans="1:24" ht="4.5" customHeight="1" x14ac:dyDescent="0.3">
      <c r="B4" s="851"/>
      <c r="D4" s="852"/>
      <c r="O4" s="853"/>
      <c r="Q4" s="852"/>
    </row>
    <row r="5" spans="1:24" ht="27" customHeight="1" x14ac:dyDescent="0.35">
      <c r="B5" s="851"/>
      <c r="C5" s="854" t="str">
        <f ca="1">' '!A335</f>
        <v>Forces</v>
      </c>
      <c r="D5" s="855"/>
      <c r="E5" s="856">
        <v>5</v>
      </c>
      <c r="F5" s="856">
        <v>4</v>
      </c>
      <c r="G5" s="856">
        <v>3</v>
      </c>
      <c r="H5" s="856">
        <v>2</v>
      </c>
      <c r="I5" s="856">
        <v>1</v>
      </c>
      <c r="J5" s="857">
        <v>-1</v>
      </c>
      <c r="K5" s="857">
        <v>-2</v>
      </c>
      <c r="L5" s="857">
        <v>-3</v>
      </c>
      <c r="M5" s="857">
        <v>-4</v>
      </c>
      <c r="N5" s="857">
        <v>-5</v>
      </c>
      <c r="O5" s="853"/>
      <c r="P5" s="858" t="str">
        <f ca="1">' '!A336</f>
        <v>Faiblesses</v>
      </c>
      <c r="Q5" s="852"/>
      <c r="S5" s="859"/>
    </row>
    <row r="6" spans="1:24" s="867" customFormat="1" ht="11.25" customHeight="1" x14ac:dyDescent="0.35">
      <c r="A6" s="539"/>
      <c r="B6" s="860"/>
      <c r="C6" s="861"/>
      <c r="D6" s="862"/>
      <c r="E6" s="856"/>
      <c r="F6" s="856"/>
      <c r="G6" s="856"/>
      <c r="H6" s="856"/>
      <c r="I6" s="856"/>
      <c r="J6" s="863"/>
      <c r="K6" s="863"/>
      <c r="L6" s="863"/>
      <c r="M6" s="863"/>
      <c r="N6" s="863"/>
      <c r="O6" s="864"/>
      <c r="P6" s="865"/>
      <c r="Q6" s="866"/>
      <c r="S6" s="868"/>
    </row>
    <row r="7" spans="1:24" x14ac:dyDescent="0.3">
      <c r="B7" s="869" t="s">
        <v>442</v>
      </c>
      <c r="C7" s="63"/>
      <c r="D7" s="64">
        <v>1</v>
      </c>
      <c r="E7" s="870" t="str">
        <f>IF(D7=5,"❺","")</f>
        <v/>
      </c>
      <c r="F7" s="870" t="str">
        <f>IF(D7=4,"❹","")</f>
        <v/>
      </c>
      <c r="G7" s="870" t="str">
        <f>IF(D7=3,"❸","")</f>
        <v/>
      </c>
      <c r="H7" s="870" t="str">
        <f>IF(D7=2,"❷","")</f>
        <v/>
      </c>
      <c r="I7" s="871" t="str">
        <f>IF(D7=1,"❶","")</f>
        <v>❶</v>
      </c>
      <c r="J7" s="872" t="str">
        <f>IF(Q7=-1,"❶","")</f>
        <v/>
      </c>
      <c r="K7" s="873" t="str">
        <f>IF(Q7=-2,"❷","")</f>
        <v/>
      </c>
      <c r="L7" s="873" t="str">
        <f>IF(Q7=-3,"❸","")</f>
        <v/>
      </c>
      <c r="M7" s="873" t="str">
        <f>IF(Q7=-4,"❹","")</f>
        <v>❹</v>
      </c>
      <c r="N7" s="873" t="str">
        <f>IF(Q7=-5,"❺","")</f>
        <v/>
      </c>
      <c r="O7" s="869" t="s">
        <v>443</v>
      </c>
      <c r="P7" s="63"/>
      <c r="Q7" s="65">
        <v>-4</v>
      </c>
      <c r="S7" s="874"/>
      <c r="T7" s="874"/>
      <c r="V7" s="874"/>
    </row>
    <row r="8" spans="1:24" x14ac:dyDescent="0.3">
      <c r="B8" s="875" t="s">
        <v>444</v>
      </c>
      <c r="C8" s="66"/>
      <c r="D8" s="67">
        <v>3</v>
      </c>
      <c r="E8" s="876" t="str">
        <f t="shared" ref="E8:E23" si="0">IF(D8=5,"❺","")</f>
        <v/>
      </c>
      <c r="F8" s="876" t="str">
        <f t="shared" ref="F8:F23" si="1">IF(D8=4,"❹","")</f>
        <v/>
      </c>
      <c r="G8" s="876" t="str">
        <f t="shared" ref="G8:G23" si="2">IF(D8=3,"❸","")</f>
        <v>❸</v>
      </c>
      <c r="H8" s="876" t="str">
        <f t="shared" ref="H8:H23" si="3">IF(D8=2,"❷","")</f>
        <v/>
      </c>
      <c r="I8" s="877" t="str">
        <f t="shared" ref="I8:I23" si="4">IF(D8=1,"❶","")</f>
        <v/>
      </c>
      <c r="J8" s="878" t="str">
        <f t="shared" ref="J8:J23" si="5">IF(Q8=-1,"❶","")</f>
        <v/>
      </c>
      <c r="K8" s="879" t="str">
        <f t="shared" ref="K8:K23" si="6">IF(Q8=-2,"❷","")</f>
        <v>❷</v>
      </c>
      <c r="L8" s="879" t="str">
        <f t="shared" ref="L8:L23" si="7">IF(Q8=-3,"❸","")</f>
        <v/>
      </c>
      <c r="M8" s="879" t="str">
        <f t="shared" ref="M8:M23" si="8">IF(Q8=-4,"❹","")</f>
        <v/>
      </c>
      <c r="N8" s="879" t="str">
        <f t="shared" ref="N8:N23" si="9">IF(Q8=-5,"❺","")</f>
        <v/>
      </c>
      <c r="O8" s="875" t="s">
        <v>445</v>
      </c>
      <c r="P8" s="66"/>
      <c r="Q8" s="68">
        <v>-2</v>
      </c>
      <c r="S8" s="874"/>
      <c r="T8" s="874"/>
      <c r="V8" s="874"/>
    </row>
    <row r="9" spans="1:24" x14ac:dyDescent="0.3">
      <c r="B9" s="875" t="s">
        <v>446</v>
      </c>
      <c r="C9" s="66"/>
      <c r="D9" s="67"/>
      <c r="E9" s="870" t="str">
        <f t="shared" si="0"/>
        <v/>
      </c>
      <c r="F9" s="870" t="str">
        <f t="shared" si="1"/>
        <v/>
      </c>
      <c r="G9" s="870" t="str">
        <f t="shared" si="2"/>
        <v/>
      </c>
      <c r="H9" s="870" t="str">
        <f t="shared" si="3"/>
        <v/>
      </c>
      <c r="I9" s="871" t="str">
        <f t="shared" si="4"/>
        <v/>
      </c>
      <c r="J9" s="872" t="str">
        <f t="shared" si="5"/>
        <v/>
      </c>
      <c r="K9" s="873" t="str">
        <f t="shared" si="6"/>
        <v/>
      </c>
      <c r="L9" s="873" t="str">
        <f t="shared" si="7"/>
        <v/>
      </c>
      <c r="M9" s="873" t="str">
        <f t="shared" si="8"/>
        <v/>
      </c>
      <c r="N9" s="873" t="str">
        <f t="shared" si="9"/>
        <v/>
      </c>
      <c r="O9" s="875" t="s">
        <v>447</v>
      </c>
      <c r="P9" s="66"/>
      <c r="Q9" s="68"/>
      <c r="S9" s="874"/>
      <c r="T9" s="874"/>
      <c r="V9" s="874"/>
    </row>
    <row r="10" spans="1:24" x14ac:dyDescent="0.3">
      <c r="B10" s="875" t="s">
        <v>448</v>
      </c>
      <c r="C10" s="66"/>
      <c r="D10" s="67"/>
      <c r="E10" s="876" t="str">
        <f t="shared" si="0"/>
        <v/>
      </c>
      <c r="F10" s="876" t="str">
        <f t="shared" si="1"/>
        <v/>
      </c>
      <c r="G10" s="876" t="str">
        <f t="shared" si="2"/>
        <v/>
      </c>
      <c r="H10" s="876" t="str">
        <f t="shared" si="3"/>
        <v/>
      </c>
      <c r="I10" s="877" t="str">
        <f t="shared" si="4"/>
        <v/>
      </c>
      <c r="J10" s="878" t="str">
        <f t="shared" si="5"/>
        <v/>
      </c>
      <c r="K10" s="879" t="str">
        <f t="shared" si="6"/>
        <v/>
      </c>
      <c r="L10" s="879" t="str">
        <f t="shared" si="7"/>
        <v/>
      </c>
      <c r="M10" s="879" t="str">
        <f t="shared" si="8"/>
        <v/>
      </c>
      <c r="N10" s="879" t="str">
        <f t="shared" si="9"/>
        <v/>
      </c>
      <c r="O10" s="875" t="s">
        <v>449</v>
      </c>
      <c r="P10" s="66"/>
      <c r="Q10" s="68"/>
      <c r="S10" s="874"/>
      <c r="T10" s="874"/>
      <c r="V10" s="874"/>
    </row>
    <row r="11" spans="1:24" x14ac:dyDescent="0.3">
      <c r="B11" s="875" t="s">
        <v>450</v>
      </c>
      <c r="C11" s="66"/>
      <c r="D11" s="67"/>
      <c r="E11" s="870" t="str">
        <f t="shared" si="0"/>
        <v/>
      </c>
      <c r="F11" s="870" t="str">
        <f t="shared" si="1"/>
        <v/>
      </c>
      <c r="G11" s="870" t="str">
        <f t="shared" si="2"/>
        <v/>
      </c>
      <c r="H11" s="870" t="str">
        <f t="shared" si="3"/>
        <v/>
      </c>
      <c r="I11" s="871" t="str">
        <f t="shared" si="4"/>
        <v/>
      </c>
      <c r="J11" s="872" t="str">
        <f t="shared" si="5"/>
        <v/>
      </c>
      <c r="K11" s="873" t="str">
        <f t="shared" si="6"/>
        <v/>
      </c>
      <c r="L11" s="873" t="str">
        <f t="shared" si="7"/>
        <v/>
      </c>
      <c r="M11" s="873" t="str">
        <f t="shared" si="8"/>
        <v/>
      </c>
      <c r="N11" s="873" t="str">
        <f t="shared" si="9"/>
        <v/>
      </c>
      <c r="O11" s="875" t="s">
        <v>451</v>
      </c>
      <c r="P11" s="66"/>
      <c r="Q11" s="68"/>
      <c r="S11" s="874"/>
      <c r="T11" s="874"/>
      <c r="V11" s="874"/>
    </row>
    <row r="12" spans="1:24" x14ac:dyDescent="0.3">
      <c r="B12" s="875" t="s">
        <v>452</v>
      </c>
      <c r="C12" s="66"/>
      <c r="D12" s="67"/>
      <c r="E12" s="876" t="str">
        <f t="shared" si="0"/>
        <v/>
      </c>
      <c r="F12" s="876" t="str">
        <f t="shared" si="1"/>
        <v/>
      </c>
      <c r="G12" s="876" t="str">
        <f t="shared" si="2"/>
        <v/>
      </c>
      <c r="H12" s="876" t="str">
        <f t="shared" si="3"/>
        <v/>
      </c>
      <c r="I12" s="877" t="str">
        <f t="shared" si="4"/>
        <v/>
      </c>
      <c r="J12" s="878" t="str">
        <f t="shared" si="5"/>
        <v/>
      </c>
      <c r="K12" s="879" t="str">
        <f t="shared" si="6"/>
        <v/>
      </c>
      <c r="L12" s="879" t="str">
        <f t="shared" si="7"/>
        <v/>
      </c>
      <c r="M12" s="879" t="str">
        <f t="shared" si="8"/>
        <v/>
      </c>
      <c r="N12" s="879" t="str">
        <f t="shared" si="9"/>
        <v/>
      </c>
      <c r="O12" s="875" t="s">
        <v>453</v>
      </c>
      <c r="P12" s="66"/>
      <c r="Q12" s="68"/>
      <c r="S12" s="874"/>
      <c r="T12" s="874"/>
      <c r="V12" s="874"/>
    </row>
    <row r="13" spans="1:24" x14ac:dyDescent="0.3">
      <c r="B13" s="875" t="s">
        <v>454</v>
      </c>
      <c r="C13" s="66"/>
      <c r="D13" s="67"/>
      <c r="E13" s="870" t="str">
        <f t="shared" si="0"/>
        <v/>
      </c>
      <c r="F13" s="870" t="str">
        <f t="shared" si="1"/>
        <v/>
      </c>
      <c r="G13" s="870" t="str">
        <f t="shared" si="2"/>
        <v/>
      </c>
      <c r="H13" s="870" t="str">
        <f t="shared" si="3"/>
        <v/>
      </c>
      <c r="I13" s="871" t="str">
        <f t="shared" si="4"/>
        <v/>
      </c>
      <c r="J13" s="872" t="str">
        <f t="shared" si="5"/>
        <v/>
      </c>
      <c r="K13" s="873" t="str">
        <f t="shared" si="6"/>
        <v/>
      </c>
      <c r="L13" s="873" t="str">
        <f t="shared" si="7"/>
        <v/>
      </c>
      <c r="M13" s="873" t="str">
        <f t="shared" si="8"/>
        <v/>
      </c>
      <c r="N13" s="873" t="str">
        <f t="shared" si="9"/>
        <v/>
      </c>
      <c r="O13" s="875" t="s">
        <v>455</v>
      </c>
      <c r="P13" s="66"/>
      <c r="Q13" s="68"/>
      <c r="S13" s="874"/>
      <c r="T13" s="874"/>
      <c r="V13" s="874"/>
    </row>
    <row r="14" spans="1:24" x14ac:dyDescent="0.3">
      <c r="B14" s="875" t="s">
        <v>456</v>
      </c>
      <c r="C14" s="66"/>
      <c r="D14" s="67"/>
      <c r="E14" s="876" t="str">
        <f t="shared" si="0"/>
        <v/>
      </c>
      <c r="F14" s="876" t="str">
        <f t="shared" si="1"/>
        <v/>
      </c>
      <c r="G14" s="876" t="str">
        <f t="shared" si="2"/>
        <v/>
      </c>
      <c r="H14" s="876" t="str">
        <f t="shared" si="3"/>
        <v/>
      </c>
      <c r="I14" s="877" t="str">
        <f t="shared" si="4"/>
        <v/>
      </c>
      <c r="J14" s="878" t="str">
        <f t="shared" si="5"/>
        <v/>
      </c>
      <c r="K14" s="879" t="str">
        <f t="shared" si="6"/>
        <v/>
      </c>
      <c r="L14" s="879" t="str">
        <f t="shared" si="7"/>
        <v/>
      </c>
      <c r="M14" s="879" t="str">
        <f t="shared" si="8"/>
        <v/>
      </c>
      <c r="N14" s="879" t="str">
        <f t="shared" si="9"/>
        <v/>
      </c>
      <c r="O14" s="875" t="s">
        <v>457</v>
      </c>
      <c r="P14" s="66"/>
      <c r="Q14" s="68"/>
      <c r="S14" s="874"/>
      <c r="T14" s="874"/>
      <c r="V14" s="874"/>
    </row>
    <row r="15" spans="1:24" x14ac:dyDescent="0.3">
      <c r="B15" s="875" t="s">
        <v>458</v>
      </c>
      <c r="C15" s="66"/>
      <c r="D15" s="67"/>
      <c r="E15" s="870" t="str">
        <f t="shared" si="0"/>
        <v/>
      </c>
      <c r="F15" s="870" t="str">
        <f t="shared" si="1"/>
        <v/>
      </c>
      <c r="G15" s="870" t="str">
        <f t="shared" si="2"/>
        <v/>
      </c>
      <c r="H15" s="870" t="str">
        <f t="shared" si="3"/>
        <v/>
      </c>
      <c r="I15" s="871" t="str">
        <f t="shared" si="4"/>
        <v/>
      </c>
      <c r="J15" s="872" t="str">
        <f t="shared" si="5"/>
        <v/>
      </c>
      <c r="K15" s="873" t="str">
        <f t="shared" si="6"/>
        <v/>
      </c>
      <c r="L15" s="873" t="str">
        <f t="shared" si="7"/>
        <v/>
      </c>
      <c r="M15" s="873" t="str">
        <f t="shared" si="8"/>
        <v/>
      </c>
      <c r="N15" s="873" t="str">
        <f t="shared" si="9"/>
        <v/>
      </c>
      <c r="O15" s="875" t="s">
        <v>459</v>
      </c>
      <c r="P15" s="66"/>
      <c r="Q15" s="68"/>
      <c r="S15" s="874"/>
      <c r="T15" s="874"/>
      <c r="V15" s="874"/>
    </row>
    <row r="16" spans="1:24" ht="17.399999999999999" customHeight="1" x14ac:dyDescent="0.3">
      <c r="B16" s="875" t="s">
        <v>460</v>
      </c>
      <c r="C16" s="66"/>
      <c r="D16" s="67"/>
      <c r="E16" s="876" t="str">
        <f t="shared" si="0"/>
        <v/>
      </c>
      <c r="F16" s="876" t="str">
        <f t="shared" si="1"/>
        <v/>
      </c>
      <c r="G16" s="876" t="str">
        <f t="shared" si="2"/>
        <v/>
      </c>
      <c r="H16" s="876" t="str">
        <f t="shared" si="3"/>
        <v/>
      </c>
      <c r="I16" s="877" t="str">
        <f t="shared" si="4"/>
        <v/>
      </c>
      <c r="J16" s="878" t="str">
        <f t="shared" si="5"/>
        <v/>
      </c>
      <c r="K16" s="879" t="str">
        <f t="shared" si="6"/>
        <v/>
      </c>
      <c r="L16" s="879" t="str">
        <f t="shared" si="7"/>
        <v/>
      </c>
      <c r="M16" s="879" t="str">
        <f t="shared" si="8"/>
        <v/>
      </c>
      <c r="N16" s="879" t="str">
        <f t="shared" si="9"/>
        <v/>
      </c>
      <c r="O16" s="875" t="s">
        <v>461</v>
      </c>
      <c r="P16" s="66"/>
      <c r="Q16" s="68"/>
      <c r="S16" s="874"/>
      <c r="T16" s="874"/>
      <c r="V16" s="874"/>
    </row>
    <row r="17" spans="2:17" ht="17.399999999999999" customHeight="1" x14ac:dyDescent="0.3">
      <c r="B17" s="875" t="s">
        <v>462</v>
      </c>
      <c r="C17" s="66"/>
      <c r="D17" s="67"/>
      <c r="E17" s="870" t="str">
        <f t="shared" si="0"/>
        <v/>
      </c>
      <c r="F17" s="870" t="str">
        <f t="shared" si="1"/>
        <v/>
      </c>
      <c r="G17" s="870" t="str">
        <f t="shared" si="2"/>
        <v/>
      </c>
      <c r="H17" s="870" t="str">
        <f t="shared" si="3"/>
        <v/>
      </c>
      <c r="I17" s="871" t="str">
        <f t="shared" si="4"/>
        <v/>
      </c>
      <c r="J17" s="872" t="str">
        <f t="shared" si="5"/>
        <v/>
      </c>
      <c r="K17" s="873" t="str">
        <f t="shared" si="6"/>
        <v/>
      </c>
      <c r="L17" s="873" t="str">
        <f t="shared" si="7"/>
        <v/>
      </c>
      <c r="M17" s="873" t="str">
        <f t="shared" si="8"/>
        <v/>
      </c>
      <c r="N17" s="873" t="str">
        <f t="shared" si="9"/>
        <v/>
      </c>
      <c r="O17" s="875" t="s">
        <v>463</v>
      </c>
      <c r="P17" s="66"/>
      <c r="Q17" s="68"/>
    </row>
    <row r="18" spans="2:17" ht="17.399999999999999" customHeight="1" x14ac:dyDescent="0.3">
      <c r="B18" s="875" t="s">
        <v>464</v>
      </c>
      <c r="C18" s="66"/>
      <c r="D18" s="67"/>
      <c r="E18" s="876" t="str">
        <f t="shared" si="0"/>
        <v/>
      </c>
      <c r="F18" s="876" t="str">
        <f t="shared" si="1"/>
        <v/>
      </c>
      <c r="G18" s="876" t="str">
        <f t="shared" si="2"/>
        <v/>
      </c>
      <c r="H18" s="876" t="str">
        <f t="shared" si="3"/>
        <v/>
      </c>
      <c r="I18" s="877" t="str">
        <f t="shared" si="4"/>
        <v/>
      </c>
      <c r="J18" s="878" t="str">
        <f t="shared" si="5"/>
        <v/>
      </c>
      <c r="K18" s="879" t="str">
        <f t="shared" si="6"/>
        <v/>
      </c>
      <c r="L18" s="879" t="str">
        <f t="shared" si="7"/>
        <v/>
      </c>
      <c r="M18" s="879" t="str">
        <f t="shared" si="8"/>
        <v/>
      </c>
      <c r="N18" s="879" t="str">
        <f t="shared" si="9"/>
        <v/>
      </c>
      <c r="O18" s="875" t="s">
        <v>465</v>
      </c>
      <c r="P18" s="66"/>
      <c r="Q18" s="68"/>
    </row>
    <row r="19" spans="2:17" ht="17.399999999999999" customHeight="1" x14ac:dyDescent="0.3">
      <c r="B19" s="875" t="s">
        <v>466</v>
      </c>
      <c r="C19" s="66"/>
      <c r="D19" s="67"/>
      <c r="E19" s="870" t="str">
        <f t="shared" si="0"/>
        <v/>
      </c>
      <c r="F19" s="870" t="str">
        <f t="shared" si="1"/>
        <v/>
      </c>
      <c r="G19" s="870" t="str">
        <f t="shared" si="2"/>
        <v/>
      </c>
      <c r="H19" s="870" t="str">
        <f t="shared" si="3"/>
        <v/>
      </c>
      <c r="I19" s="871" t="str">
        <f t="shared" si="4"/>
        <v/>
      </c>
      <c r="J19" s="872" t="str">
        <f t="shared" si="5"/>
        <v/>
      </c>
      <c r="K19" s="873" t="str">
        <f t="shared" si="6"/>
        <v/>
      </c>
      <c r="L19" s="873" t="str">
        <f t="shared" si="7"/>
        <v/>
      </c>
      <c r="M19" s="873" t="str">
        <f t="shared" si="8"/>
        <v/>
      </c>
      <c r="N19" s="873" t="str">
        <f t="shared" si="9"/>
        <v/>
      </c>
      <c r="O19" s="875" t="s">
        <v>467</v>
      </c>
      <c r="P19" s="66"/>
      <c r="Q19" s="68"/>
    </row>
    <row r="20" spans="2:17" ht="17.399999999999999" customHeight="1" x14ac:dyDescent="0.3">
      <c r="B20" s="875" t="s">
        <v>468</v>
      </c>
      <c r="C20" s="66"/>
      <c r="D20" s="67"/>
      <c r="E20" s="876" t="str">
        <f t="shared" si="0"/>
        <v/>
      </c>
      <c r="F20" s="876" t="str">
        <f t="shared" si="1"/>
        <v/>
      </c>
      <c r="G20" s="876" t="str">
        <f t="shared" si="2"/>
        <v/>
      </c>
      <c r="H20" s="876" t="str">
        <f t="shared" si="3"/>
        <v/>
      </c>
      <c r="I20" s="877" t="str">
        <f t="shared" si="4"/>
        <v/>
      </c>
      <c r="J20" s="878" t="str">
        <f t="shared" si="5"/>
        <v/>
      </c>
      <c r="K20" s="879" t="str">
        <f t="shared" si="6"/>
        <v/>
      </c>
      <c r="L20" s="879" t="str">
        <f t="shared" si="7"/>
        <v/>
      </c>
      <c r="M20" s="879" t="str">
        <f t="shared" si="8"/>
        <v/>
      </c>
      <c r="N20" s="879" t="str">
        <f t="shared" si="9"/>
        <v/>
      </c>
      <c r="O20" s="875" t="s">
        <v>469</v>
      </c>
      <c r="P20" s="66"/>
      <c r="Q20" s="68"/>
    </row>
    <row r="21" spans="2:17" ht="17.399999999999999" customHeight="1" x14ac:dyDescent="0.3">
      <c r="B21" s="875" t="s">
        <v>470</v>
      </c>
      <c r="C21" s="66"/>
      <c r="D21" s="67"/>
      <c r="E21" s="870" t="str">
        <f t="shared" si="0"/>
        <v/>
      </c>
      <c r="F21" s="870" t="str">
        <f t="shared" si="1"/>
        <v/>
      </c>
      <c r="G21" s="870" t="str">
        <f t="shared" si="2"/>
        <v/>
      </c>
      <c r="H21" s="870" t="str">
        <f t="shared" si="3"/>
        <v/>
      </c>
      <c r="I21" s="871" t="str">
        <f t="shared" si="4"/>
        <v/>
      </c>
      <c r="J21" s="872" t="str">
        <f t="shared" si="5"/>
        <v/>
      </c>
      <c r="K21" s="873" t="str">
        <f t="shared" si="6"/>
        <v/>
      </c>
      <c r="L21" s="873" t="str">
        <f t="shared" si="7"/>
        <v/>
      </c>
      <c r="M21" s="873" t="str">
        <f t="shared" si="8"/>
        <v/>
      </c>
      <c r="N21" s="873" t="str">
        <f t="shared" si="9"/>
        <v/>
      </c>
      <c r="O21" s="875" t="s">
        <v>471</v>
      </c>
      <c r="P21" s="66"/>
      <c r="Q21" s="68"/>
    </row>
    <row r="22" spans="2:17" ht="17.399999999999999" customHeight="1" x14ac:dyDescent="0.3">
      <c r="B22" s="875" t="s">
        <v>472</v>
      </c>
      <c r="C22" s="66"/>
      <c r="D22" s="67"/>
      <c r="E22" s="876" t="str">
        <f t="shared" si="0"/>
        <v/>
      </c>
      <c r="F22" s="876" t="str">
        <f t="shared" si="1"/>
        <v/>
      </c>
      <c r="G22" s="876" t="str">
        <f t="shared" si="2"/>
        <v/>
      </c>
      <c r="H22" s="876" t="str">
        <f t="shared" si="3"/>
        <v/>
      </c>
      <c r="I22" s="877" t="str">
        <f t="shared" si="4"/>
        <v/>
      </c>
      <c r="J22" s="878" t="str">
        <f t="shared" si="5"/>
        <v/>
      </c>
      <c r="K22" s="879" t="str">
        <f t="shared" si="6"/>
        <v/>
      </c>
      <c r="L22" s="879" t="str">
        <f t="shared" si="7"/>
        <v/>
      </c>
      <c r="M22" s="879" t="str">
        <f t="shared" si="8"/>
        <v/>
      </c>
      <c r="N22" s="879" t="str">
        <f t="shared" si="9"/>
        <v/>
      </c>
      <c r="O22" s="875" t="s">
        <v>473</v>
      </c>
      <c r="P22" s="66"/>
      <c r="Q22" s="68"/>
    </row>
    <row r="23" spans="2:17" ht="17.399999999999999" customHeight="1" x14ac:dyDescent="0.3">
      <c r="B23" s="875" t="s">
        <v>474</v>
      </c>
      <c r="C23" s="66"/>
      <c r="D23" s="67"/>
      <c r="E23" s="870" t="str">
        <f t="shared" si="0"/>
        <v/>
      </c>
      <c r="F23" s="870" t="str">
        <f t="shared" si="1"/>
        <v/>
      </c>
      <c r="G23" s="870" t="str">
        <f t="shared" si="2"/>
        <v/>
      </c>
      <c r="H23" s="870" t="str">
        <f t="shared" si="3"/>
        <v/>
      </c>
      <c r="I23" s="871" t="str">
        <f t="shared" si="4"/>
        <v/>
      </c>
      <c r="J23" s="872" t="str">
        <f t="shared" si="5"/>
        <v/>
      </c>
      <c r="K23" s="873" t="str">
        <f t="shared" si="6"/>
        <v/>
      </c>
      <c r="L23" s="873" t="str">
        <f t="shared" si="7"/>
        <v/>
      </c>
      <c r="M23" s="873" t="str">
        <f t="shared" si="8"/>
        <v/>
      </c>
      <c r="N23" s="873" t="str">
        <f t="shared" si="9"/>
        <v/>
      </c>
      <c r="O23" s="875" t="s">
        <v>475</v>
      </c>
      <c r="P23" s="66"/>
      <c r="Q23" s="68"/>
    </row>
    <row r="24" spans="2:17" ht="17.399999999999999" customHeight="1" x14ac:dyDescent="0.3">
      <c r="B24" s="875" t="s">
        <v>476</v>
      </c>
      <c r="C24" s="66"/>
      <c r="D24" s="67"/>
      <c r="E24" s="876" t="str">
        <f t="shared" ref="E24:E26" si="10">IF(D24=5,"❺","")</f>
        <v/>
      </c>
      <c r="F24" s="876" t="str">
        <f t="shared" ref="F24:F26" si="11">IF(D24=4,"❹","")</f>
        <v/>
      </c>
      <c r="G24" s="876" t="str">
        <f t="shared" ref="G24:G26" si="12">IF(D24=3,"❸","")</f>
        <v/>
      </c>
      <c r="H24" s="876" t="str">
        <f t="shared" ref="H24:H26" si="13">IF(D24=2,"❷","")</f>
        <v/>
      </c>
      <c r="I24" s="877" t="str">
        <f t="shared" ref="I24:I26" si="14">IF(D24=1,"❶","")</f>
        <v/>
      </c>
      <c r="J24" s="878" t="str">
        <f t="shared" ref="J24:J26" si="15">IF(Q24=-1,"❶","")</f>
        <v/>
      </c>
      <c r="K24" s="879" t="str">
        <f t="shared" ref="K24:K26" si="16">IF(Q24=-2,"❷","")</f>
        <v/>
      </c>
      <c r="L24" s="879" t="str">
        <f t="shared" ref="L24:L26" si="17">IF(Q24=-3,"❸","")</f>
        <v/>
      </c>
      <c r="M24" s="879" t="str">
        <f t="shared" ref="M24:M26" si="18">IF(Q24=-4,"❹","")</f>
        <v/>
      </c>
      <c r="N24" s="879" t="str">
        <f t="shared" ref="N24:N26" si="19">IF(Q24=-5,"❺","")</f>
        <v/>
      </c>
      <c r="O24" s="875" t="s">
        <v>477</v>
      </c>
      <c r="P24" s="66"/>
      <c r="Q24" s="68"/>
    </row>
    <row r="25" spans="2:17" ht="17.399999999999999" customHeight="1" x14ac:dyDescent="0.3">
      <c r="B25" s="875" t="s">
        <v>1395</v>
      </c>
      <c r="C25" s="66"/>
      <c r="D25" s="67"/>
      <c r="E25" s="870" t="str">
        <f t="shared" si="10"/>
        <v/>
      </c>
      <c r="F25" s="870" t="str">
        <f t="shared" si="11"/>
        <v/>
      </c>
      <c r="G25" s="870" t="str">
        <f t="shared" si="12"/>
        <v/>
      </c>
      <c r="H25" s="870" t="str">
        <f t="shared" si="13"/>
        <v/>
      </c>
      <c r="I25" s="871" t="str">
        <f t="shared" si="14"/>
        <v/>
      </c>
      <c r="J25" s="872" t="str">
        <f t="shared" si="15"/>
        <v/>
      </c>
      <c r="K25" s="873" t="str">
        <f t="shared" si="16"/>
        <v/>
      </c>
      <c r="L25" s="873" t="str">
        <f t="shared" si="17"/>
        <v/>
      </c>
      <c r="M25" s="873" t="str">
        <f t="shared" si="18"/>
        <v/>
      </c>
      <c r="N25" s="873" t="str">
        <f t="shared" si="19"/>
        <v/>
      </c>
      <c r="O25" s="875" t="s">
        <v>1448</v>
      </c>
      <c r="P25" s="66"/>
      <c r="Q25" s="68"/>
    </row>
    <row r="26" spans="2:17" ht="17.399999999999999" customHeight="1" x14ac:dyDescent="0.3">
      <c r="B26" s="875" t="s">
        <v>1396</v>
      </c>
      <c r="C26" s="66"/>
      <c r="D26" s="67"/>
      <c r="E26" s="876" t="str">
        <f t="shared" si="10"/>
        <v/>
      </c>
      <c r="F26" s="876" t="str">
        <f t="shared" si="11"/>
        <v/>
      </c>
      <c r="G26" s="876" t="str">
        <f t="shared" si="12"/>
        <v/>
      </c>
      <c r="H26" s="876" t="str">
        <f t="shared" si="13"/>
        <v/>
      </c>
      <c r="I26" s="877" t="str">
        <f t="shared" si="14"/>
        <v/>
      </c>
      <c r="J26" s="878" t="str">
        <f t="shared" si="15"/>
        <v/>
      </c>
      <c r="K26" s="879" t="str">
        <f t="shared" si="16"/>
        <v/>
      </c>
      <c r="L26" s="879" t="str">
        <f t="shared" si="17"/>
        <v/>
      </c>
      <c r="M26" s="879" t="str">
        <f t="shared" si="18"/>
        <v/>
      </c>
      <c r="N26" s="879" t="str">
        <f t="shared" si="19"/>
        <v/>
      </c>
      <c r="O26" s="875" t="s">
        <v>1449</v>
      </c>
      <c r="P26" s="66"/>
      <c r="Q26" s="68"/>
    </row>
    <row r="27" spans="2:17" ht="31.2" x14ac:dyDescent="0.6">
      <c r="B27" s="880"/>
      <c r="C27" s="881" t="str">
        <f ca="1">' '!A337</f>
        <v>Opportunités</v>
      </c>
      <c r="D27" s="882">
        <f>ABS(SUM(D7:D26))</f>
        <v>4</v>
      </c>
      <c r="E27" s="883">
        <v>5</v>
      </c>
      <c r="F27" s="883">
        <v>4</v>
      </c>
      <c r="G27" s="883">
        <v>3</v>
      </c>
      <c r="H27" s="883">
        <v>2</v>
      </c>
      <c r="I27" s="883">
        <v>1</v>
      </c>
      <c r="J27" s="884">
        <v>-1</v>
      </c>
      <c r="K27" s="884">
        <v>-2</v>
      </c>
      <c r="L27" s="884">
        <v>-3</v>
      </c>
      <c r="M27" s="884">
        <v>-4</v>
      </c>
      <c r="N27" s="884">
        <v>-5</v>
      </c>
      <c r="O27" s="885"/>
      <c r="P27" s="886" t="str">
        <f ca="1">' '!A338</f>
        <v>Menaces</v>
      </c>
      <c r="Q27" s="882">
        <f>ABS(SUM(Q7:Q26))</f>
        <v>6</v>
      </c>
    </row>
    <row r="28" spans="2:17" x14ac:dyDescent="0.3">
      <c r="B28" s="875" t="s">
        <v>478</v>
      </c>
      <c r="C28" s="66"/>
      <c r="D28" s="68">
        <v>1</v>
      </c>
      <c r="E28" s="887" t="str">
        <f>IF(D28=5,"❺","")</f>
        <v/>
      </c>
      <c r="F28" s="887" t="str">
        <f>IF(D28=4,"❹","")</f>
        <v/>
      </c>
      <c r="G28" s="887" t="str">
        <f>IF(D28=3,"❸","")</f>
        <v/>
      </c>
      <c r="H28" s="887" t="str">
        <f>IF(D28=2,"❷","")</f>
        <v/>
      </c>
      <c r="I28" s="888" t="str">
        <f>IF(D28=1,"❶","")</f>
        <v>❶</v>
      </c>
      <c r="J28" s="889" t="str">
        <f>IF(Q28=-1,"❶","")</f>
        <v>❶</v>
      </c>
      <c r="K28" s="890" t="str">
        <f>IF(Q28=-2,"❷","")</f>
        <v/>
      </c>
      <c r="L28" s="890" t="str">
        <f>IF(Q28=-3,"❸","")</f>
        <v/>
      </c>
      <c r="M28" s="890" t="str">
        <f>IF(Q28=-4,"❹","")</f>
        <v/>
      </c>
      <c r="N28" s="890" t="str">
        <f>IF(Q28=-5,"❺","")</f>
        <v/>
      </c>
      <c r="O28" s="875" t="s">
        <v>479</v>
      </c>
      <c r="P28" s="66"/>
      <c r="Q28" s="69">
        <v>-1</v>
      </c>
    </row>
    <row r="29" spans="2:17" x14ac:dyDescent="0.3">
      <c r="B29" s="875" t="s">
        <v>480</v>
      </c>
      <c r="C29" s="66"/>
      <c r="D29" s="68">
        <v>3</v>
      </c>
      <c r="E29" s="891" t="str">
        <f t="shared" ref="E29:E44" si="20">IF(D29=5,"❺","")</f>
        <v/>
      </c>
      <c r="F29" s="891" t="str">
        <f t="shared" ref="F29:F44" si="21">IF(D29=4,"❹","")</f>
        <v/>
      </c>
      <c r="G29" s="891" t="str">
        <f t="shared" ref="G29:G44" si="22">IF(D29=3,"❸","")</f>
        <v>❸</v>
      </c>
      <c r="H29" s="891" t="str">
        <f t="shared" ref="H29:H44" si="23">IF(D29=2,"❷","")</f>
        <v/>
      </c>
      <c r="I29" s="892" t="str">
        <f t="shared" ref="I29:I44" si="24">IF(D29=1,"❶","")</f>
        <v/>
      </c>
      <c r="J29" s="893" t="str">
        <f t="shared" ref="J29:J44" si="25">IF(Q29=-1,"❶","")</f>
        <v/>
      </c>
      <c r="K29" s="894" t="str">
        <f t="shared" ref="K29:K44" si="26">IF(Q29=-2,"❷","")</f>
        <v/>
      </c>
      <c r="L29" s="894" t="str">
        <f t="shared" ref="L29:L44" si="27">IF(Q29=-3,"❸","")</f>
        <v/>
      </c>
      <c r="M29" s="894" t="str">
        <f t="shared" ref="M29:M44" si="28">IF(Q29=-4,"❹","")</f>
        <v>❹</v>
      </c>
      <c r="N29" s="894" t="str">
        <f t="shared" ref="N29:N44" si="29">IF(Q29=-5,"❺","")</f>
        <v/>
      </c>
      <c r="O29" s="875" t="s">
        <v>481</v>
      </c>
      <c r="P29" s="66"/>
      <c r="Q29" s="69">
        <v>-4</v>
      </c>
    </row>
    <row r="30" spans="2:17" x14ac:dyDescent="0.3">
      <c r="B30" s="875" t="s">
        <v>482</v>
      </c>
      <c r="C30" s="66"/>
      <c r="D30" s="68"/>
      <c r="E30" s="887" t="str">
        <f t="shared" si="20"/>
        <v/>
      </c>
      <c r="F30" s="887" t="str">
        <f t="shared" si="21"/>
        <v/>
      </c>
      <c r="G30" s="887" t="str">
        <f t="shared" si="22"/>
        <v/>
      </c>
      <c r="H30" s="887" t="str">
        <f t="shared" si="23"/>
        <v/>
      </c>
      <c r="I30" s="888" t="str">
        <f t="shared" si="24"/>
        <v/>
      </c>
      <c r="J30" s="889" t="str">
        <f t="shared" si="25"/>
        <v/>
      </c>
      <c r="K30" s="890" t="str">
        <f t="shared" si="26"/>
        <v/>
      </c>
      <c r="L30" s="890" t="str">
        <f t="shared" si="27"/>
        <v/>
      </c>
      <c r="M30" s="890" t="str">
        <f t="shared" si="28"/>
        <v/>
      </c>
      <c r="N30" s="890" t="str">
        <f t="shared" si="29"/>
        <v/>
      </c>
      <c r="O30" s="875" t="s">
        <v>483</v>
      </c>
      <c r="P30" s="66"/>
      <c r="Q30" s="69"/>
    </row>
    <row r="31" spans="2:17" x14ac:dyDescent="0.3">
      <c r="B31" s="875" t="s">
        <v>484</v>
      </c>
      <c r="C31" s="66"/>
      <c r="D31" s="68"/>
      <c r="E31" s="891" t="str">
        <f t="shared" si="20"/>
        <v/>
      </c>
      <c r="F31" s="891" t="str">
        <f t="shared" si="21"/>
        <v/>
      </c>
      <c r="G31" s="891" t="str">
        <f t="shared" si="22"/>
        <v/>
      </c>
      <c r="H31" s="891" t="str">
        <f t="shared" si="23"/>
        <v/>
      </c>
      <c r="I31" s="892" t="str">
        <f t="shared" si="24"/>
        <v/>
      </c>
      <c r="J31" s="893" t="str">
        <f t="shared" si="25"/>
        <v/>
      </c>
      <c r="K31" s="894" t="str">
        <f t="shared" si="26"/>
        <v/>
      </c>
      <c r="L31" s="894" t="str">
        <f t="shared" si="27"/>
        <v/>
      </c>
      <c r="M31" s="894" t="str">
        <f t="shared" si="28"/>
        <v/>
      </c>
      <c r="N31" s="894" t="str">
        <f t="shared" si="29"/>
        <v/>
      </c>
      <c r="O31" s="875" t="s">
        <v>485</v>
      </c>
      <c r="P31" s="66"/>
      <c r="Q31" s="69"/>
    </row>
    <row r="32" spans="2:17" x14ac:dyDescent="0.3">
      <c r="B32" s="875" t="s">
        <v>486</v>
      </c>
      <c r="C32" s="66"/>
      <c r="D32" s="68"/>
      <c r="E32" s="887" t="str">
        <f t="shared" si="20"/>
        <v/>
      </c>
      <c r="F32" s="887" t="str">
        <f t="shared" si="21"/>
        <v/>
      </c>
      <c r="G32" s="887" t="str">
        <f t="shared" si="22"/>
        <v/>
      </c>
      <c r="H32" s="887" t="str">
        <f t="shared" si="23"/>
        <v/>
      </c>
      <c r="I32" s="888" t="str">
        <f t="shared" si="24"/>
        <v/>
      </c>
      <c r="J32" s="889" t="str">
        <f t="shared" si="25"/>
        <v/>
      </c>
      <c r="K32" s="890" t="str">
        <f t="shared" si="26"/>
        <v/>
      </c>
      <c r="L32" s="890" t="str">
        <f t="shared" si="27"/>
        <v/>
      </c>
      <c r="M32" s="890" t="str">
        <f t="shared" si="28"/>
        <v/>
      </c>
      <c r="N32" s="890" t="str">
        <f t="shared" si="29"/>
        <v/>
      </c>
      <c r="O32" s="875" t="s">
        <v>487</v>
      </c>
      <c r="P32" s="66"/>
      <c r="Q32" s="69"/>
    </row>
    <row r="33" spans="2:17" x14ac:dyDescent="0.3">
      <c r="B33" s="875" t="s">
        <v>488</v>
      </c>
      <c r="C33" s="66"/>
      <c r="D33" s="68"/>
      <c r="E33" s="891" t="str">
        <f t="shared" si="20"/>
        <v/>
      </c>
      <c r="F33" s="891" t="str">
        <f t="shared" si="21"/>
        <v/>
      </c>
      <c r="G33" s="891" t="str">
        <f t="shared" si="22"/>
        <v/>
      </c>
      <c r="H33" s="891" t="str">
        <f t="shared" si="23"/>
        <v/>
      </c>
      <c r="I33" s="892" t="str">
        <f t="shared" si="24"/>
        <v/>
      </c>
      <c r="J33" s="893" t="str">
        <f t="shared" si="25"/>
        <v/>
      </c>
      <c r="K33" s="894" t="str">
        <f t="shared" si="26"/>
        <v/>
      </c>
      <c r="L33" s="894" t="str">
        <f t="shared" si="27"/>
        <v/>
      </c>
      <c r="M33" s="894" t="str">
        <f t="shared" si="28"/>
        <v/>
      </c>
      <c r="N33" s="894" t="str">
        <f t="shared" si="29"/>
        <v/>
      </c>
      <c r="O33" s="875" t="s">
        <v>489</v>
      </c>
      <c r="P33" s="66"/>
      <c r="Q33" s="69"/>
    </row>
    <row r="34" spans="2:17" x14ac:dyDescent="0.3">
      <c r="B34" s="875" t="s">
        <v>490</v>
      </c>
      <c r="C34" s="66"/>
      <c r="D34" s="68"/>
      <c r="E34" s="887" t="str">
        <f t="shared" si="20"/>
        <v/>
      </c>
      <c r="F34" s="887" t="str">
        <f t="shared" si="21"/>
        <v/>
      </c>
      <c r="G34" s="887" t="str">
        <f t="shared" si="22"/>
        <v/>
      </c>
      <c r="H34" s="887" t="str">
        <f t="shared" si="23"/>
        <v/>
      </c>
      <c r="I34" s="888" t="str">
        <f t="shared" si="24"/>
        <v/>
      </c>
      <c r="J34" s="889" t="str">
        <f t="shared" si="25"/>
        <v/>
      </c>
      <c r="K34" s="890" t="str">
        <f t="shared" si="26"/>
        <v/>
      </c>
      <c r="L34" s="890" t="str">
        <f t="shared" si="27"/>
        <v/>
      </c>
      <c r="M34" s="890" t="str">
        <f t="shared" si="28"/>
        <v/>
      </c>
      <c r="N34" s="890" t="str">
        <f t="shared" si="29"/>
        <v/>
      </c>
      <c r="O34" s="875" t="s">
        <v>491</v>
      </c>
      <c r="P34" s="66"/>
      <c r="Q34" s="69"/>
    </row>
    <row r="35" spans="2:17" x14ac:dyDescent="0.3">
      <c r="B35" s="875" t="s">
        <v>492</v>
      </c>
      <c r="C35" s="66"/>
      <c r="D35" s="68"/>
      <c r="E35" s="891" t="str">
        <f t="shared" si="20"/>
        <v/>
      </c>
      <c r="F35" s="891" t="str">
        <f t="shared" si="21"/>
        <v/>
      </c>
      <c r="G35" s="891" t="str">
        <f t="shared" si="22"/>
        <v/>
      </c>
      <c r="H35" s="891" t="str">
        <f t="shared" si="23"/>
        <v/>
      </c>
      <c r="I35" s="892" t="str">
        <f t="shared" si="24"/>
        <v/>
      </c>
      <c r="J35" s="893" t="str">
        <f t="shared" si="25"/>
        <v/>
      </c>
      <c r="K35" s="894" t="str">
        <f t="shared" si="26"/>
        <v/>
      </c>
      <c r="L35" s="894" t="str">
        <f t="shared" si="27"/>
        <v/>
      </c>
      <c r="M35" s="894" t="str">
        <f t="shared" si="28"/>
        <v/>
      </c>
      <c r="N35" s="894" t="str">
        <f t="shared" si="29"/>
        <v/>
      </c>
      <c r="O35" s="875" t="s">
        <v>493</v>
      </c>
      <c r="P35" s="66"/>
      <c r="Q35" s="69"/>
    </row>
    <row r="36" spans="2:17" x14ac:dyDescent="0.3">
      <c r="B36" s="875" t="s">
        <v>494</v>
      </c>
      <c r="C36" s="66"/>
      <c r="D36" s="68"/>
      <c r="E36" s="887" t="str">
        <f t="shared" si="20"/>
        <v/>
      </c>
      <c r="F36" s="887" t="str">
        <f t="shared" si="21"/>
        <v/>
      </c>
      <c r="G36" s="887" t="str">
        <f t="shared" si="22"/>
        <v/>
      </c>
      <c r="H36" s="887" t="str">
        <f t="shared" si="23"/>
        <v/>
      </c>
      <c r="I36" s="888" t="str">
        <f t="shared" si="24"/>
        <v/>
      </c>
      <c r="J36" s="889" t="str">
        <f t="shared" si="25"/>
        <v/>
      </c>
      <c r="K36" s="890" t="str">
        <f t="shared" si="26"/>
        <v/>
      </c>
      <c r="L36" s="890" t="str">
        <f t="shared" si="27"/>
        <v/>
      </c>
      <c r="M36" s="890" t="str">
        <f t="shared" si="28"/>
        <v/>
      </c>
      <c r="N36" s="890" t="str">
        <f t="shared" si="29"/>
        <v/>
      </c>
      <c r="O36" s="875" t="s">
        <v>495</v>
      </c>
      <c r="P36" s="66"/>
      <c r="Q36" s="69"/>
    </row>
    <row r="37" spans="2:17" x14ac:dyDescent="0.3">
      <c r="B37" s="875" t="s">
        <v>496</v>
      </c>
      <c r="C37" s="66"/>
      <c r="D37" s="68"/>
      <c r="E37" s="891" t="str">
        <f t="shared" si="20"/>
        <v/>
      </c>
      <c r="F37" s="891" t="str">
        <f t="shared" si="21"/>
        <v/>
      </c>
      <c r="G37" s="891" t="str">
        <f t="shared" si="22"/>
        <v/>
      </c>
      <c r="H37" s="891" t="str">
        <f t="shared" si="23"/>
        <v/>
      </c>
      <c r="I37" s="892" t="str">
        <f t="shared" si="24"/>
        <v/>
      </c>
      <c r="J37" s="893" t="str">
        <f t="shared" si="25"/>
        <v/>
      </c>
      <c r="K37" s="894" t="str">
        <f t="shared" si="26"/>
        <v/>
      </c>
      <c r="L37" s="894" t="str">
        <f t="shared" si="27"/>
        <v/>
      </c>
      <c r="M37" s="894" t="str">
        <f t="shared" si="28"/>
        <v/>
      </c>
      <c r="N37" s="894" t="str">
        <f t="shared" si="29"/>
        <v/>
      </c>
      <c r="O37" s="875" t="s">
        <v>497</v>
      </c>
      <c r="P37" s="66"/>
      <c r="Q37" s="69"/>
    </row>
    <row r="38" spans="2:17" x14ac:dyDescent="0.3">
      <c r="B38" s="875" t="s">
        <v>498</v>
      </c>
      <c r="C38" s="66"/>
      <c r="D38" s="68"/>
      <c r="E38" s="887" t="str">
        <f t="shared" si="20"/>
        <v/>
      </c>
      <c r="F38" s="887" t="str">
        <f t="shared" si="21"/>
        <v/>
      </c>
      <c r="G38" s="887" t="str">
        <f t="shared" si="22"/>
        <v/>
      </c>
      <c r="H38" s="887" t="str">
        <f t="shared" si="23"/>
        <v/>
      </c>
      <c r="I38" s="888" t="str">
        <f t="shared" si="24"/>
        <v/>
      </c>
      <c r="J38" s="889" t="str">
        <f t="shared" si="25"/>
        <v/>
      </c>
      <c r="K38" s="890" t="str">
        <f t="shared" si="26"/>
        <v/>
      </c>
      <c r="L38" s="890" t="str">
        <f t="shared" si="27"/>
        <v/>
      </c>
      <c r="M38" s="890" t="str">
        <f t="shared" si="28"/>
        <v/>
      </c>
      <c r="N38" s="890" t="str">
        <f t="shared" si="29"/>
        <v/>
      </c>
      <c r="O38" s="875" t="s">
        <v>499</v>
      </c>
      <c r="P38" s="66"/>
      <c r="Q38" s="69"/>
    </row>
    <row r="39" spans="2:17" x14ac:dyDescent="0.3">
      <c r="B39" s="875" t="s">
        <v>500</v>
      </c>
      <c r="C39" s="66"/>
      <c r="D39" s="68"/>
      <c r="E39" s="891" t="str">
        <f t="shared" si="20"/>
        <v/>
      </c>
      <c r="F39" s="891" t="str">
        <f t="shared" si="21"/>
        <v/>
      </c>
      <c r="G39" s="891" t="str">
        <f t="shared" si="22"/>
        <v/>
      </c>
      <c r="H39" s="891" t="str">
        <f t="shared" si="23"/>
        <v/>
      </c>
      <c r="I39" s="892" t="str">
        <f t="shared" si="24"/>
        <v/>
      </c>
      <c r="J39" s="893" t="str">
        <f t="shared" si="25"/>
        <v/>
      </c>
      <c r="K39" s="894" t="str">
        <f t="shared" si="26"/>
        <v/>
      </c>
      <c r="L39" s="894" t="str">
        <f t="shared" si="27"/>
        <v/>
      </c>
      <c r="M39" s="894" t="str">
        <f t="shared" si="28"/>
        <v/>
      </c>
      <c r="N39" s="894" t="str">
        <f t="shared" si="29"/>
        <v/>
      </c>
      <c r="O39" s="875" t="s">
        <v>501</v>
      </c>
      <c r="P39" s="66"/>
      <c r="Q39" s="69"/>
    </row>
    <row r="40" spans="2:17" x14ac:dyDescent="0.3">
      <c r="B40" s="875" t="s">
        <v>502</v>
      </c>
      <c r="C40" s="66"/>
      <c r="D40" s="68"/>
      <c r="E40" s="887" t="str">
        <f t="shared" si="20"/>
        <v/>
      </c>
      <c r="F40" s="887" t="str">
        <f t="shared" si="21"/>
        <v/>
      </c>
      <c r="G40" s="887" t="str">
        <f t="shared" si="22"/>
        <v/>
      </c>
      <c r="H40" s="887" t="str">
        <f t="shared" si="23"/>
        <v/>
      </c>
      <c r="I40" s="888" t="str">
        <f t="shared" si="24"/>
        <v/>
      </c>
      <c r="J40" s="889" t="str">
        <f t="shared" si="25"/>
        <v/>
      </c>
      <c r="K40" s="890" t="str">
        <f t="shared" si="26"/>
        <v/>
      </c>
      <c r="L40" s="890" t="str">
        <f t="shared" si="27"/>
        <v/>
      </c>
      <c r="M40" s="890" t="str">
        <f t="shared" si="28"/>
        <v/>
      </c>
      <c r="N40" s="890" t="str">
        <f t="shared" si="29"/>
        <v/>
      </c>
      <c r="O40" s="875" t="s">
        <v>503</v>
      </c>
      <c r="P40" s="66"/>
      <c r="Q40" s="69"/>
    </row>
    <row r="41" spans="2:17" x14ac:dyDescent="0.3">
      <c r="B41" s="875" t="s">
        <v>504</v>
      </c>
      <c r="C41" s="66"/>
      <c r="D41" s="68"/>
      <c r="E41" s="891" t="str">
        <f t="shared" si="20"/>
        <v/>
      </c>
      <c r="F41" s="891" t="str">
        <f t="shared" si="21"/>
        <v/>
      </c>
      <c r="G41" s="891" t="str">
        <f t="shared" si="22"/>
        <v/>
      </c>
      <c r="H41" s="891" t="str">
        <f t="shared" si="23"/>
        <v/>
      </c>
      <c r="I41" s="892" t="str">
        <f t="shared" si="24"/>
        <v/>
      </c>
      <c r="J41" s="893" t="str">
        <f t="shared" si="25"/>
        <v/>
      </c>
      <c r="K41" s="894" t="str">
        <f t="shared" si="26"/>
        <v/>
      </c>
      <c r="L41" s="894" t="str">
        <f t="shared" si="27"/>
        <v/>
      </c>
      <c r="M41" s="894" t="str">
        <f t="shared" si="28"/>
        <v/>
      </c>
      <c r="N41" s="894" t="str">
        <f t="shared" si="29"/>
        <v/>
      </c>
      <c r="O41" s="875" t="s">
        <v>505</v>
      </c>
      <c r="P41" s="66"/>
      <c r="Q41" s="69"/>
    </row>
    <row r="42" spans="2:17" x14ac:dyDescent="0.3">
      <c r="B42" s="875" t="s">
        <v>506</v>
      </c>
      <c r="C42" s="66"/>
      <c r="D42" s="68"/>
      <c r="E42" s="887" t="str">
        <f t="shared" si="20"/>
        <v/>
      </c>
      <c r="F42" s="887" t="str">
        <f t="shared" si="21"/>
        <v/>
      </c>
      <c r="G42" s="887" t="str">
        <f t="shared" si="22"/>
        <v/>
      </c>
      <c r="H42" s="887" t="str">
        <f t="shared" si="23"/>
        <v/>
      </c>
      <c r="I42" s="888" t="str">
        <f t="shared" si="24"/>
        <v/>
      </c>
      <c r="J42" s="889" t="str">
        <f t="shared" si="25"/>
        <v/>
      </c>
      <c r="K42" s="890" t="str">
        <f t="shared" si="26"/>
        <v/>
      </c>
      <c r="L42" s="890" t="str">
        <f t="shared" si="27"/>
        <v/>
      </c>
      <c r="M42" s="890" t="str">
        <f t="shared" si="28"/>
        <v/>
      </c>
      <c r="N42" s="890" t="str">
        <f t="shared" si="29"/>
        <v/>
      </c>
      <c r="O42" s="875" t="s">
        <v>507</v>
      </c>
      <c r="P42" s="66"/>
      <c r="Q42" s="69"/>
    </row>
    <row r="43" spans="2:17" x14ac:dyDescent="0.3">
      <c r="B43" s="875" t="s">
        <v>508</v>
      </c>
      <c r="C43" s="66"/>
      <c r="D43" s="68"/>
      <c r="E43" s="891" t="str">
        <f t="shared" si="20"/>
        <v/>
      </c>
      <c r="F43" s="891" t="str">
        <f t="shared" si="21"/>
        <v/>
      </c>
      <c r="G43" s="891" t="str">
        <f t="shared" si="22"/>
        <v/>
      </c>
      <c r="H43" s="891" t="str">
        <f t="shared" si="23"/>
        <v/>
      </c>
      <c r="I43" s="892" t="str">
        <f t="shared" si="24"/>
        <v/>
      </c>
      <c r="J43" s="893" t="str">
        <f t="shared" si="25"/>
        <v/>
      </c>
      <c r="K43" s="894" t="str">
        <f t="shared" si="26"/>
        <v/>
      </c>
      <c r="L43" s="894" t="str">
        <f t="shared" si="27"/>
        <v/>
      </c>
      <c r="M43" s="894" t="str">
        <f t="shared" si="28"/>
        <v/>
      </c>
      <c r="N43" s="894" t="str">
        <f t="shared" si="29"/>
        <v/>
      </c>
      <c r="O43" s="875" t="s">
        <v>509</v>
      </c>
      <c r="P43" s="66"/>
      <c r="Q43" s="69"/>
    </row>
    <row r="44" spans="2:17" x14ac:dyDescent="0.3">
      <c r="B44" s="875" t="s">
        <v>510</v>
      </c>
      <c r="C44" s="66"/>
      <c r="D44" s="68"/>
      <c r="E44" s="887" t="str">
        <f t="shared" si="20"/>
        <v/>
      </c>
      <c r="F44" s="887" t="str">
        <f t="shared" si="21"/>
        <v/>
      </c>
      <c r="G44" s="887" t="str">
        <f t="shared" si="22"/>
        <v/>
      </c>
      <c r="H44" s="887" t="str">
        <f t="shared" si="23"/>
        <v/>
      </c>
      <c r="I44" s="888" t="str">
        <f t="shared" si="24"/>
        <v/>
      </c>
      <c r="J44" s="889" t="str">
        <f t="shared" si="25"/>
        <v/>
      </c>
      <c r="K44" s="890" t="str">
        <f t="shared" si="26"/>
        <v/>
      </c>
      <c r="L44" s="890" t="str">
        <f t="shared" si="27"/>
        <v/>
      </c>
      <c r="M44" s="890" t="str">
        <f t="shared" si="28"/>
        <v/>
      </c>
      <c r="N44" s="890" t="str">
        <f t="shared" si="29"/>
        <v/>
      </c>
      <c r="O44" s="875" t="s">
        <v>511</v>
      </c>
      <c r="P44" s="66"/>
      <c r="Q44" s="69"/>
    </row>
    <row r="45" spans="2:17" x14ac:dyDescent="0.3">
      <c r="B45" s="875" t="s">
        <v>512</v>
      </c>
      <c r="C45" s="66"/>
      <c r="D45" s="68"/>
      <c r="E45" s="891" t="str">
        <f t="shared" ref="E45:E47" si="30">IF(D45=5,"❺","")</f>
        <v/>
      </c>
      <c r="F45" s="891" t="str">
        <f t="shared" ref="F45:F47" si="31">IF(D45=4,"❹","")</f>
        <v/>
      </c>
      <c r="G45" s="891" t="str">
        <f t="shared" ref="G45:G47" si="32">IF(D45=3,"❸","")</f>
        <v/>
      </c>
      <c r="H45" s="891" t="str">
        <f t="shared" ref="H45:H47" si="33">IF(D45=2,"❷","")</f>
        <v/>
      </c>
      <c r="I45" s="892" t="str">
        <f t="shared" ref="I45:I47" si="34">IF(D45=1,"❶","")</f>
        <v/>
      </c>
      <c r="J45" s="893" t="str">
        <f t="shared" ref="J45:J47" si="35">IF(Q45=-1,"❶","")</f>
        <v/>
      </c>
      <c r="K45" s="894" t="str">
        <f t="shared" ref="K45:K47" si="36">IF(Q45=-2,"❷","")</f>
        <v/>
      </c>
      <c r="L45" s="894" t="str">
        <f t="shared" ref="L45:L47" si="37">IF(Q45=-3,"❸","")</f>
        <v/>
      </c>
      <c r="M45" s="894" t="str">
        <f t="shared" ref="M45:M47" si="38">IF(Q45=-4,"❹","")</f>
        <v/>
      </c>
      <c r="N45" s="894" t="str">
        <f t="shared" ref="N45:N47" si="39">IF(Q45=-5,"❺","")</f>
        <v/>
      </c>
      <c r="O45" s="875" t="s">
        <v>513</v>
      </c>
      <c r="P45" s="66"/>
      <c r="Q45" s="69"/>
    </row>
    <row r="46" spans="2:17" x14ac:dyDescent="0.3">
      <c r="B46" s="875" t="s">
        <v>1450</v>
      </c>
      <c r="C46" s="66"/>
      <c r="D46" s="68"/>
      <c r="E46" s="887" t="str">
        <f t="shared" si="30"/>
        <v/>
      </c>
      <c r="F46" s="887" t="str">
        <f t="shared" si="31"/>
        <v/>
      </c>
      <c r="G46" s="887" t="str">
        <f t="shared" si="32"/>
        <v/>
      </c>
      <c r="H46" s="887" t="str">
        <f t="shared" si="33"/>
        <v/>
      </c>
      <c r="I46" s="888" t="str">
        <f t="shared" si="34"/>
        <v/>
      </c>
      <c r="J46" s="889" t="str">
        <f t="shared" si="35"/>
        <v/>
      </c>
      <c r="K46" s="890" t="str">
        <f t="shared" si="36"/>
        <v/>
      </c>
      <c r="L46" s="890" t="str">
        <f t="shared" si="37"/>
        <v/>
      </c>
      <c r="M46" s="890" t="str">
        <f t="shared" si="38"/>
        <v/>
      </c>
      <c r="N46" s="890" t="str">
        <f t="shared" si="39"/>
        <v/>
      </c>
      <c r="O46" s="875" t="s">
        <v>1452</v>
      </c>
      <c r="P46" s="66"/>
      <c r="Q46" s="69"/>
    </row>
    <row r="47" spans="2:17" x14ac:dyDescent="0.3">
      <c r="B47" s="875" t="s">
        <v>1451</v>
      </c>
      <c r="C47" s="66"/>
      <c r="D47" s="68"/>
      <c r="E47" s="891" t="str">
        <f t="shared" si="30"/>
        <v/>
      </c>
      <c r="F47" s="891" t="str">
        <f t="shared" si="31"/>
        <v/>
      </c>
      <c r="G47" s="891" t="str">
        <f t="shared" si="32"/>
        <v/>
      </c>
      <c r="H47" s="891" t="str">
        <f t="shared" si="33"/>
        <v/>
      </c>
      <c r="I47" s="892" t="str">
        <f t="shared" si="34"/>
        <v/>
      </c>
      <c r="J47" s="893" t="str">
        <f t="shared" si="35"/>
        <v/>
      </c>
      <c r="K47" s="894" t="str">
        <f t="shared" si="36"/>
        <v/>
      </c>
      <c r="L47" s="894" t="str">
        <f t="shared" si="37"/>
        <v/>
      </c>
      <c r="M47" s="894" t="str">
        <f t="shared" si="38"/>
        <v/>
      </c>
      <c r="N47" s="894" t="str">
        <f t="shared" si="39"/>
        <v/>
      </c>
      <c r="O47" s="875" t="s">
        <v>1453</v>
      </c>
      <c r="P47" s="66"/>
      <c r="Q47" s="69"/>
    </row>
    <row r="48" spans="2:17" x14ac:dyDescent="0.3">
      <c r="B48" s="520" t="s">
        <v>1705</v>
      </c>
      <c r="D48" s="882">
        <f>ABS(SUM(D28:D47))</f>
        <v>4</v>
      </c>
      <c r="O48" s="734"/>
      <c r="Q48" s="882">
        <f>ABS(SUM(Q28:Q47))</f>
        <v>5</v>
      </c>
    </row>
    <row r="52" spans="2:17" x14ac:dyDescent="0.3">
      <c r="P52" s="435" t="str">
        <f ca="1">C5</f>
        <v>Forces</v>
      </c>
      <c r="Q52" s="895">
        <f>$D$27</f>
        <v>4</v>
      </c>
    </row>
    <row r="53" spans="2:17" x14ac:dyDescent="0.3">
      <c r="P53" s="435" t="str">
        <f ca="1">P27</f>
        <v>Menaces</v>
      </c>
      <c r="Q53" s="895">
        <f>$Q$48</f>
        <v>5</v>
      </c>
    </row>
    <row r="54" spans="2:17" x14ac:dyDescent="0.3">
      <c r="P54" s="435" t="str">
        <f ca="1">P5</f>
        <v>Faiblesses</v>
      </c>
      <c r="Q54" s="895">
        <f>$Q$27</f>
        <v>6</v>
      </c>
    </row>
    <row r="55" spans="2:17" x14ac:dyDescent="0.3">
      <c r="P55" s="435" t="str">
        <f ca="1">C27</f>
        <v>Opportunités</v>
      </c>
      <c r="Q55" s="895">
        <f>$D$48</f>
        <v>4</v>
      </c>
    </row>
    <row r="60" spans="2:17" x14ac:dyDescent="0.3">
      <c r="B60" s="520"/>
    </row>
    <row r="70" ht="6.75" customHeight="1" x14ac:dyDescent="0.3"/>
    <row r="71" ht="7.5" hidden="1" customHeight="1" x14ac:dyDescent="0.3"/>
  </sheetData>
  <sheetProtection sheet="1" objects="1" scenarios="1" formatCells="0" formatColumns="0" formatRows="0" insertHyperlinks="0" selectLockedCells="1" sort="0" autoFilter="0"/>
  <autoFilter ref="E6:N47" xr:uid="{00000000-0009-0000-0000-000017000000}"/>
  <conditionalFormatting sqref="O28:Q47">
    <cfRule type="expression" dxfId="54" priority="3">
      <formula>MOD(ROW(A1048561),2)=0</formula>
    </cfRule>
    <cfRule type="expression" dxfId="53" priority="4">
      <formula>MOD(ROW(A1048560),2)=0</formula>
    </cfRule>
  </conditionalFormatting>
  <conditionalFormatting sqref="B28:D47">
    <cfRule type="expression" dxfId="52" priority="2">
      <formula>MOD(ROW(A1),2)=0</formula>
    </cfRule>
    <cfRule type="expression" dxfId="51" priority="17541">
      <formula>MOD(ROW(A2),2)=0</formula>
    </cfRule>
  </conditionalFormatting>
  <conditionalFormatting sqref="B7:D26">
    <cfRule type="expression" dxfId="50" priority="7">
      <formula>MOD(ROW(A1048562),2)=0</formula>
    </cfRule>
    <cfRule type="expression" dxfId="49" priority="8">
      <formula>MOD(ROW(A1048561),2)=0</formula>
    </cfRule>
  </conditionalFormatting>
  <conditionalFormatting sqref="O7:Q26">
    <cfRule type="expression" dxfId="48" priority="9">
      <formula>MOD(ROW(A1048562),2)=0</formula>
    </cfRule>
    <cfRule type="expression" dxfId="47" priority="10">
      <formula>MOD(ROW(A1048561),2)=0</formula>
    </cfRule>
  </conditionalFormatting>
  <dataValidations count="3">
    <dataValidation type="list" allowBlank="1" showInputMessage="1" showErrorMessage="1" sqref="Q7:Q26 Q28:Q47" xr:uid="{00000000-0002-0000-1700-000000000000}">
      <formula1>"-1,-2,-3,-4,-5"</formula1>
    </dataValidation>
    <dataValidation type="list" showInputMessage="1" showErrorMessage="1" sqref="D28:D47 D7:D26" xr:uid="{00000000-0002-0000-1700-000001000000}">
      <formula1>"1,2,3,4,5"</formula1>
    </dataValidation>
    <dataValidation allowBlank="1" showInputMessage="1" showErrorMessage="1" sqref="Q27 D27 Q48" xr:uid="{00000000-0002-0000-1700-000002000000}"/>
  </dataValidations>
  <pageMargins left="0.19685039370078741" right="0.19685039370078741" top="0.31496062992125984" bottom="0.43307086614173229" header="0" footer="0.19685039370078741"/>
  <pageSetup paperSize="8" scale="95" orientation="portrait" r:id="rId1"/>
  <headerFooter scaleWithDoc="0">
    <oddFooter>&amp;L&amp;8&amp;K01+049(c) s. imboden&amp;C&amp;8&amp;K01+049printed &amp;D&amp;R&amp;8&amp;K03+000&amp;P/&amp;N</oddFooter>
  </headerFooter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Tabelle3">
    <tabColor theme="6" tint="0.59999389629810485"/>
    <pageSetUpPr fitToPage="1"/>
  </sheetPr>
  <dimension ref="A1:J54"/>
  <sheetViews>
    <sheetView showGridLines="0" zoomScaleNormal="100" workbookViewId="0">
      <pane ySplit="4" topLeftCell="A5" activePane="bottomLeft" state="frozen"/>
      <selection activeCell="C28" sqref="C28"/>
      <selection pane="bottomLeft"/>
    </sheetView>
  </sheetViews>
  <sheetFormatPr baseColWidth="10" defaultColWidth="12.5546875" defaultRowHeight="14.4" x14ac:dyDescent="0.3"/>
  <cols>
    <col min="1" max="1" width="7" style="62" customWidth="1"/>
    <col min="2" max="2" width="4.5546875" style="717" customWidth="1"/>
    <col min="3" max="3" width="29" style="717" customWidth="1"/>
    <col min="4" max="4" width="11.88671875" style="717" customWidth="1"/>
    <col min="5" max="5" width="12.44140625" style="717" bestFit="1" customWidth="1"/>
    <col min="6" max="6" width="31.88671875" style="717" customWidth="1"/>
    <col min="7" max="7" width="7" style="717" customWidth="1"/>
    <col min="8" max="8" width="26" style="717" customWidth="1"/>
    <col min="9" max="9" width="7" style="717" customWidth="1"/>
    <col min="10" max="10" width="0.109375" style="896" customWidth="1"/>
    <col min="11" max="18" width="4" style="717" customWidth="1"/>
    <col min="19" max="16384" width="12.5546875" style="717"/>
  </cols>
  <sheetData>
    <row r="1" spans="1:10" s="70" customFormat="1" ht="45" customHeight="1" x14ac:dyDescent="0.6">
      <c r="A1" s="13"/>
      <c r="B1" s="712" t="str">
        <f ca="1">' '!A339</f>
        <v>A N A L Y S E   D U   R I S Q U E</v>
      </c>
      <c r="C1" s="713"/>
      <c r="D1" s="713"/>
      <c r="E1" s="713"/>
      <c r="F1" s="713"/>
      <c r="G1" s="713"/>
      <c r="H1" s="713"/>
      <c r="I1" s="392"/>
      <c r="J1" s="1"/>
    </row>
    <row r="2" spans="1:10" s="73" customFormat="1" ht="22.5" customHeight="1" x14ac:dyDescent="0.3">
      <c r="A2" s="62"/>
      <c r="B2" s="401"/>
      <c r="J2" s="62"/>
    </row>
    <row r="3" spans="1:10" ht="12.75" customHeight="1" x14ac:dyDescent="0.3">
      <c r="C3" s="73"/>
    </row>
    <row r="4" spans="1:10" ht="36" customHeight="1" x14ac:dyDescent="0.3">
      <c r="B4" s="897" t="str">
        <f ca="1">' '!A348</f>
        <v>No.</v>
      </c>
      <c r="C4" s="898" t="str">
        <f ca="1">' '!A349</f>
        <v>Risque</v>
      </c>
      <c r="D4" s="899" t="str">
        <f ca="1">' '!A352</f>
        <v>Étendue des dommages</v>
      </c>
      <c r="E4" s="900" t="str">
        <f ca="1">' '!A351</f>
        <v>Probabilité d'occurrence</v>
      </c>
      <c r="F4" s="898" t="str">
        <f ca="1">' '!A350</f>
        <v>Impact</v>
      </c>
      <c r="G4" s="898" t="str">
        <f ca="1">' '!A353</f>
        <v>Ten-
dance</v>
      </c>
      <c r="H4" s="898" t="str">
        <f ca="1">' '!A354</f>
        <v>Mesures possibles</v>
      </c>
      <c r="I4" s="901" t="str">
        <f ca="1">' '!A355</f>
        <v>Statut</v>
      </c>
    </row>
    <row r="5" spans="1:10" ht="23.4" x14ac:dyDescent="0.3">
      <c r="B5" s="135" t="s">
        <v>369</v>
      </c>
      <c r="C5" s="27" t="s">
        <v>967</v>
      </c>
      <c r="D5" s="28">
        <v>1</v>
      </c>
      <c r="E5" s="28">
        <v>1</v>
      </c>
      <c r="F5" s="29"/>
      <c r="G5" s="30">
        <v>1</v>
      </c>
      <c r="H5" s="29"/>
      <c r="I5" s="15">
        <v>2</v>
      </c>
      <c r="J5" s="902">
        <v>1</v>
      </c>
    </row>
    <row r="6" spans="1:10" ht="23.4" x14ac:dyDescent="0.3">
      <c r="B6" s="136" t="s">
        <v>370</v>
      </c>
      <c r="C6" s="29" t="s">
        <v>1029</v>
      </c>
      <c r="D6" s="28">
        <v>5</v>
      </c>
      <c r="E6" s="28">
        <v>5</v>
      </c>
      <c r="F6" s="31"/>
      <c r="G6" s="32"/>
      <c r="H6" s="31"/>
      <c r="I6" s="33"/>
      <c r="J6" s="902">
        <v>1</v>
      </c>
    </row>
    <row r="7" spans="1:10" ht="23.4" x14ac:dyDescent="0.3">
      <c r="B7" s="137" t="s">
        <v>371</v>
      </c>
      <c r="C7" s="34"/>
      <c r="D7" s="28"/>
      <c r="E7" s="28"/>
      <c r="F7" s="35"/>
      <c r="G7" s="36"/>
      <c r="H7" s="35"/>
      <c r="I7" s="37"/>
      <c r="J7" s="902">
        <v>1</v>
      </c>
    </row>
    <row r="8" spans="1:10" ht="23.4" x14ac:dyDescent="0.3">
      <c r="B8" s="138" t="s">
        <v>372</v>
      </c>
      <c r="C8" s="38"/>
      <c r="D8" s="28"/>
      <c r="E8" s="28"/>
      <c r="F8" s="16"/>
      <c r="G8" s="39"/>
      <c r="H8" s="16"/>
      <c r="I8" s="40"/>
      <c r="J8" s="902">
        <v>1</v>
      </c>
    </row>
    <row r="9" spans="1:10" ht="23.4" x14ac:dyDescent="0.3">
      <c r="B9" s="139" t="s">
        <v>373</v>
      </c>
      <c r="C9" s="31"/>
      <c r="D9" s="28"/>
      <c r="E9" s="28"/>
      <c r="F9" s="22"/>
      <c r="G9" s="41"/>
      <c r="H9" s="22"/>
      <c r="I9" s="42"/>
      <c r="J9" s="902">
        <v>1</v>
      </c>
    </row>
    <row r="10" spans="1:10" ht="23.4" x14ac:dyDescent="0.3">
      <c r="B10" s="140" t="s">
        <v>374</v>
      </c>
      <c r="C10" s="43"/>
      <c r="D10" s="28"/>
      <c r="E10" s="28"/>
      <c r="F10" s="26"/>
      <c r="G10" s="44"/>
      <c r="H10" s="26"/>
      <c r="I10" s="45"/>
      <c r="J10" s="902">
        <v>1</v>
      </c>
    </row>
    <row r="11" spans="1:10" ht="23.4" x14ac:dyDescent="0.3">
      <c r="B11" s="141" t="s">
        <v>375</v>
      </c>
      <c r="C11" s="14"/>
      <c r="D11" s="28"/>
      <c r="E11" s="28"/>
      <c r="F11" s="38"/>
      <c r="G11" s="46"/>
      <c r="H11" s="24"/>
      <c r="I11" s="47"/>
      <c r="J11" s="902">
        <v>1</v>
      </c>
    </row>
    <row r="12" spans="1:10" ht="23.4" x14ac:dyDescent="0.3">
      <c r="B12" s="142" t="s">
        <v>376</v>
      </c>
      <c r="C12" s="48"/>
      <c r="D12" s="28"/>
      <c r="E12" s="28"/>
      <c r="F12" s="49"/>
      <c r="G12" s="50"/>
      <c r="H12" s="51"/>
      <c r="I12" s="52"/>
      <c r="J12" s="902">
        <v>1</v>
      </c>
    </row>
    <row r="13" spans="1:10" ht="23.4" x14ac:dyDescent="0.3">
      <c r="B13" s="19" t="s">
        <v>377</v>
      </c>
      <c r="C13" s="20"/>
      <c r="D13" s="28"/>
      <c r="E13" s="28"/>
      <c r="F13" s="53"/>
      <c r="G13" s="54"/>
      <c r="H13" s="53"/>
      <c r="I13" s="55"/>
      <c r="J13" s="902">
        <v>1</v>
      </c>
    </row>
    <row r="14" spans="1:10" ht="23.4" x14ac:dyDescent="0.3">
      <c r="B14" s="21" t="s">
        <v>378</v>
      </c>
      <c r="C14" s="22"/>
      <c r="D14" s="28"/>
      <c r="E14" s="28"/>
      <c r="F14" s="53"/>
      <c r="G14" s="54"/>
      <c r="H14" s="53"/>
      <c r="I14" s="55"/>
      <c r="J14" s="902">
        <v>1</v>
      </c>
    </row>
    <row r="15" spans="1:10" ht="23.4" x14ac:dyDescent="0.3">
      <c r="B15" s="23" t="s">
        <v>379</v>
      </c>
      <c r="C15" s="24"/>
      <c r="D15" s="28"/>
      <c r="E15" s="28"/>
      <c r="F15" s="53"/>
      <c r="G15" s="54"/>
      <c r="H15" s="53"/>
      <c r="I15" s="55"/>
      <c r="J15" s="902">
        <v>1</v>
      </c>
    </row>
    <row r="16" spans="1:10" ht="23.4" x14ac:dyDescent="0.3">
      <c r="B16" s="25" t="s">
        <v>380</v>
      </c>
      <c r="C16" s="26"/>
      <c r="D16" s="28"/>
      <c r="E16" s="28"/>
      <c r="F16" s="53"/>
      <c r="G16" s="54"/>
      <c r="H16" s="53"/>
      <c r="I16" s="55"/>
      <c r="J16" s="902">
        <v>1</v>
      </c>
    </row>
    <row r="17" spans="2:10" ht="23.4" x14ac:dyDescent="0.3">
      <c r="B17" s="143" t="s">
        <v>381</v>
      </c>
      <c r="C17" s="56"/>
      <c r="D17" s="28"/>
      <c r="E17" s="28"/>
      <c r="F17" s="53"/>
      <c r="G17" s="54"/>
      <c r="H17" s="53"/>
      <c r="I17" s="55"/>
      <c r="J17" s="902">
        <v>1</v>
      </c>
    </row>
    <row r="18" spans="2:10" ht="23.4" x14ac:dyDescent="0.3">
      <c r="B18" s="144" t="s">
        <v>382</v>
      </c>
      <c r="C18" s="57"/>
      <c r="D18" s="28"/>
      <c r="E18" s="28"/>
      <c r="F18" s="53"/>
      <c r="G18" s="54"/>
      <c r="H18" s="53"/>
      <c r="I18" s="55"/>
      <c r="J18" s="902">
        <v>1</v>
      </c>
    </row>
    <row r="19" spans="2:10" ht="23.4" x14ac:dyDescent="0.3">
      <c r="B19" s="17" t="s">
        <v>383</v>
      </c>
      <c r="C19" s="18"/>
      <c r="D19" s="58"/>
      <c r="E19" s="58"/>
      <c r="F19" s="59"/>
      <c r="G19" s="60"/>
      <c r="H19" s="59"/>
      <c r="I19" s="61"/>
      <c r="J19" s="903">
        <v>1</v>
      </c>
    </row>
    <row r="34" spans="8:8" ht="15.6" x14ac:dyDescent="0.3">
      <c r="H34" s="904"/>
    </row>
    <row r="35" spans="8:8" ht="15.6" x14ac:dyDescent="0.3">
      <c r="H35" s="904"/>
    </row>
    <row r="36" spans="8:8" ht="15.6" x14ac:dyDescent="0.3">
      <c r="H36" s="904"/>
    </row>
    <row r="37" spans="8:8" ht="15.6" x14ac:dyDescent="0.3">
      <c r="H37" s="904"/>
    </row>
    <row r="38" spans="8:8" ht="15.6" x14ac:dyDescent="0.3">
      <c r="H38" s="904"/>
    </row>
    <row r="39" spans="8:8" ht="15.6" x14ac:dyDescent="0.3">
      <c r="H39" s="904"/>
    </row>
    <row r="40" spans="8:8" ht="15.6" x14ac:dyDescent="0.3">
      <c r="H40" s="904"/>
    </row>
    <row r="41" spans="8:8" ht="15.6" x14ac:dyDescent="0.3">
      <c r="H41" s="904"/>
    </row>
    <row r="42" spans="8:8" ht="15.6" x14ac:dyDescent="0.3">
      <c r="H42" s="904"/>
    </row>
    <row r="43" spans="8:8" ht="15.6" x14ac:dyDescent="0.3">
      <c r="H43" s="904"/>
    </row>
    <row r="44" spans="8:8" ht="15.6" x14ac:dyDescent="0.3">
      <c r="H44" s="904"/>
    </row>
    <row r="45" spans="8:8" ht="15.6" x14ac:dyDescent="0.3">
      <c r="H45" s="904"/>
    </row>
    <row r="46" spans="8:8" ht="15.6" x14ac:dyDescent="0.3">
      <c r="H46" s="904"/>
    </row>
    <row r="47" spans="8:8" ht="15.6" x14ac:dyDescent="0.3">
      <c r="H47" s="904"/>
    </row>
    <row r="48" spans="8:8" ht="15.6" x14ac:dyDescent="0.3">
      <c r="H48" s="904"/>
    </row>
    <row r="53" spans="2:2" x14ac:dyDescent="0.3">
      <c r="B53" s="520" t="s">
        <v>1705</v>
      </c>
    </row>
    <row r="54" spans="2:2" ht="0.9" customHeight="1" x14ac:dyDescent="0.3"/>
  </sheetData>
  <sheetProtection sheet="1" objects="1" scenarios="1" formatCells="0" formatColumns="0" formatRows="0" insertHyperlinks="0" selectLockedCells="1" sort="0" autoFilter="0"/>
  <conditionalFormatting sqref="D14:D18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5:G19">
    <cfRule type="iconSet" priority="7">
      <iconSet iconSet="3ArrowsGray" showValue="0">
        <cfvo type="percent" val="0"/>
        <cfvo type="num" val="2"/>
        <cfvo type="num" val="3"/>
      </iconSet>
    </cfRule>
  </conditionalFormatting>
  <conditionalFormatting sqref="D5:D19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:E19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5:F19">
    <cfRule type="expression" dxfId="46" priority="3">
      <formula>MOD(ROW(A1),2)=0</formula>
    </cfRule>
    <cfRule type="expression" dxfId="45" priority="4">
      <formula>MOD(ROW(A2),2)=0</formula>
    </cfRule>
  </conditionalFormatting>
  <conditionalFormatting sqref="G5:I19">
    <cfRule type="expression" dxfId="44" priority="12563">
      <formula>MOD(ROW(E1),2)=0</formula>
    </cfRule>
    <cfRule type="expression" dxfId="43" priority="12564">
      <formula>MOD(ROW(E2),2)=0</formula>
    </cfRule>
  </conditionalFormatting>
  <dataValidations count="2">
    <dataValidation type="list" allowBlank="1" showInputMessage="1" showErrorMessage="1" sqref="I5:J19 G5:G54" xr:uid="{00000000-0002-0000-1800-000000000000}">
      <formula1>"1,2,3"</formula1>
    </dataValidation>
    <dataValidation type="list" allowBlank="1" showInputMessage="1" showErrorMessage="1" sqref="D5:E54" xr:uid="{00000000-0002-0000-1800-000001000000}">
      <formula1>"1,2,3,4,5,6,7,8,9,10"</formula1>
    </dataValidation>
  </dataValidations>
  <pageMargins left="0.19685039370078741" right="0.19685039370078741" top="0.31496062992125984" bottom="0.43307086614173229" header="0" footer="0.19685039370078741"/>
  <pageSetup paperSize="8" orientation="portrait" r:id="rId1"/>
  <headerFooter scaleWithDoc="0">
    <oddFooter>&amp;L&amp;8&amp;K01+049(c) s. imboden&amp;C&amp;8&amp;K01+049printed &amp;D&amp;R&amp;8&amp;K03+000&amp;P/&amp;N</oddFooter>
  </headerFooter>
  <rowBreaks count="1" manualBreakCount="1">
    <brk id="20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" id="{898A14F4-4C1E-4714-8590-7A271F3F9FDB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I14:I18</xm:sqref>
        </x14:conditionalFormatting>
        <x14:conditionalFormatting xmlns:xm="http://schemas.microsoft.com/office/excel/2006/main">
          <x14:cfRule type="iconSet" priority="6" id="{08C29F40-3696-4C3F-9D61-9DA9BB0ADF7A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I5:I19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Tabelle6">
    <tabColor theme="6" tint="0.59999389629810485"/>
  </sheetPr>
  <dimension ref="B1:BC40"/>
  <sheetViews>
    <sheetView showGridLines="0" showRowColHeaders="0" zoomScaleNormal="100" workbookViewId="0"/>
  </sheetViews>
  <sheetFormatPr baseColWidth="10" defaultColWidth="9.109375" defaultRowHeight="14.4" x14ac:dyDescent="0.3"/>
  <cols>
    <col min="1" max="1" width="7.44140625" style="62" customWidth="1"/>
    <col min="2" max="8" width="3.44140625" style="62" customWidth="1"/>
    <col min="9" max="9" width="3.109375" style="62" customWidth="1"/>
    <col min="10" max="16" width="3.44140625" style="62" customWidth="1"/>
    <col min="17" max="17" width="3.109375" style="62" customWidth="1"/>
    <col min="18" max="24" width="3.44140625" style="62" customWidth="1"/>
    <col min="25" max="25" width="3" style="62" hidden="1" customWidth="1"/>
    <col min="26" max="26" width="6.88671875" style="62" hidden="1" customWidth="1"/>
    <col min="27" max="27" width="7.88671875" style="62" hidden="1" customWidth="1"/>
    <col min="28" max="28" width="15.5546875" style="62" hidden="1" customWidth="1"/>
    <col min="29" max="29" width="0" style="62" hidden="1" customWidth="1"/>
    <col min="30" max="32" width="9.109375" style="62"/>
    <col min="33" max="55" width="9.88671875" style="575" hidden="1" customWidth="1"/>
    <col min="56" max="16384" width="9.109375" style="62"/>
  </cols>
  <sheetData>
    <row r="1" spans="2:55" ht="34.5" customHeight="1" x14ac:dyDescent="0.55000000000000004">
      <c r="B1" s="905" t="str">
        <f ca="1">' '!A383</f>
        <v>Calendrier</v>
      </c>
      <c r="C1" s="906"/>
      <c r="D1" s="906"/>
      <c r="E1" s="906"/>
      <c r="F1" s="906"/>
      <c r="G1" s="906"/>
      <c r="H1" s="906"/>
      <c r="I1" s="906"/>
      <c r="J1" s="907"/>
      <c r="K1" s="907"/>
      <c r="L1" s="907"/>
      <c r="M1" s="907"/>
      <c r="N1" s="907"/>
      <c r="O1" s="907"/>
      <c r="P1" s="907"/>
      <c r="Q1" s="907"/>
      <c r="R1" s="907"/>
      <c r="S1" s="907"/>
      <c r="T1" s="907"/>
      <c r="U1" s="907"/>
      <c r="V1" s="906"/>
      <c r="W1" s="906"/>
      <c r="X1" s="908"/>
      <c r="AG1" s="909"/>
      <c r="AH1" s="910"/>
      <c r="AI1" s="910"/>
      <c r="AJ1" s="910"/>
      <c r="AK1" s="910"/>
      <c r="AL1" s="910"/>
      <c r="AM1" s="910"/>
      <c r="AN1" s="910"/>
      <c r="AO1" s="911"/>
      <c r="AP1" s="911"/>
      <c r="AQ1" s="911"/>
      <c r="AR1" s="911"/>
      <c r="AS1" s="911"/>
      <c r="AT1" s="911"/>
      <c r="AU1" s="911"/>
      <c r="AV1" s="911"/>
      <c r="AW1" s="911"/>
      <c r="AX1" s="911"/>
      <c r="AY1" s="911"/>
      <c r="AZ1" s="911"/>
      <c r="BA1" s="910"/>
      <c r="BB1" s="910"/>
      <c r="BC1" s="912"/>
    </row>
    <row r="2" spans="2:55" ht="7.5" customHeight="1" x14ac:dyDescent="0.3">
      <c r="B2" s="1122"/>
      <c r="C2" s="1122"/>
      <c r="D2" s="1122"/>
      <c r="E2" s="1122"/>
      <c r="F2" s="1122"/>
      <c r="G2" s="1122"/>
      <c r="H2" s="1122"/>
      <c r="I2" s="913"/>
      <c r="J2" s="913"/>
      <c r="K2" s="913"/>
      <c r="L2" s="913"/>
      <c r="N2" s="913"/>
      <c r="O2" s="913"/>
      <c r="R2" s="914"/>
      <c r="T2" s="914"/>
      <c r="U2" s="914"/>
      <c r="V2" s="914"/>
      <c r="W2" s="914"/>
      <c r="X2" s="914"/>
      <c r="Y2" s="913"/>
      <c r="Z2" s="913"/>
      <c r="AA2" s="913"/>
      <c r="AG2" s="1118"/>
      <c r="AH2" s="1118"/>
      <c r="AI2" s="1118"/>
      <c r="AJ2" s="1118"/>
      <c r="AK2" s="1118"/>
      <c r="AL2" s="1118"/>
      <c r="AM2" s="1118"/>
      <c r="AN2" s="915"/>
      <c r="AO2" s="915"/>
      <c r="AP2" s="915"/>
      <c r="AQ2" s="915"/>
      <c r="AS2" s="915"/>
      <c r="AT2" s="915"/>
      <c r="AW2" s="916"/>
      <c r="AY2" s="916"/>
      <c r="AZ2" s="916"/>
      <c r="BA2" s="916"/>
      <c r="BB2" s="916"/>
      <c r="BC2" s="916"/>
    </row>
    <row r="3" spans="2:55" ht="17.25" customHeight="1" x14ac:dyDescent="0.3">
      <c r="B3" s="1123">
        <f ca="1">YEAR(TODAY())</f>
        <v>2026</v>
      </c>
      <c r="C3" s="1123"/>
      <c r="D3" s="1123"/>
      <c r="E3" s="1123"/>
      <c r="F3" s="1123"/>
      <c r="G3" s="1123"/>
      <c r="H3" s="1123"/>
      <c r="I3" s="1123"/>
      <c r="J3" s="1123"/>
      <c r="K3" s="1123"/>
      <c r="L3" s="1123"/>
      <c r="M3" s="1123"/>
      <c r="N3" s="1123"/>
      <c r="O3" s="1123"/>
      <c r="P3" s="1123"/>
      <c r="Q3" s="1123"/>
      <c r="R3" s="1123"/>
      <c r="S3" s="1123"/>
      <c r="T3" s="1123"/>
      <c r="U3" s="1123"/>
      <c r="V3" s="1123"/>
      <c r="W3" s="1123"/>
      <c r="X3" s="1123"/>
      <c r="AG3" s="1117"/>
      <c r="AH3" s="1117"/>
      <c r="AI3" s="1117"/>
      <c r="AJ3" s="1117"/>
      <c r="AK3" s="1117"/>
      <c r="AL3" s="1117"/>
      <c r="AM3" s="1117"/>
      <c r="AN3" s="1117"/>
      <c r="AO3" s="1117"/>
      <c r="AP3" s="1117"/>
      <c r="AQ3" s="1117"/>
      <c r="AR3" s="1117"/>
      <c r="AS3" s="1117"/>
      <c r="AT3" s="1117"/>
      <c r="AU3" s="1117"/>
      <c r="AV3" s="1117"/>
      <c r="AW3" s="1117"/>
      <c r="AX3" s="1117"/>
      <c r="AY3" s="1117"/>
      <c r="AZ3" s="1117"/>
      <c r="BA3" s="1117"/>
      <c r="BB3" s="1117"/>
      <c r="BC3" s="1117"/>
    </row>
    <row r="4" spans="2:55" ht="6" customHeight="1" x14ac:dyDescent="0.3">
      <c r="Y4" s="917" t="s">
        <v>1043</v>
      </c>
      <c r="AA4" s="918">
        <f ca="1">B3</f>
        <v>2026</v>
      </c>
    </row>
    <row r="5" spans="2:55" ht="15.6" x14ac:dyDescent="0.3">
      <c r="B5" s="1119">
        <f ca="1">DATE($AA$4,$AA$5,1)</f>
        <v>46023</v>
      </c>
      <c r="C5" s="1120"/>
      <c r="D5" s="1120"/>
      <c r="E5" s="1120"/>
      <c r="F5" s="1120"/>
      <c r="G5" s="1120"/>
      <c r="H5" s="1121"/>
      <c r="J5" s="1119">
        <f ca="1">DATE(YEAR(B5+35),MONTH(B5+35),1)</f>
        <v>46054</v>
      </c>
      <c r="K5" s="1120"/>
      <c r="L5" s="1120"/>
      <c r="M5" s="1120"/>
      <c r="N5" s="1120"/>
      <c r="O5" s="1120"/>
      <c r="P5" s="1121"/>
      <c r="R5" s="1119">
        <f ca="1">DATE(YEAR(J5+35),MONTH(J5+35),1)</f>
        <v>46082</v>
      </c>
      <c r="S5" s="1120"/>
      <c r="T5" s="1120"/>
      <c r="U5" s="1120"/>
      <c r="V5" s="1120"/>
      <c r="W5" s="1120"/>
      <c r="X5" s="1121"/>
      <c r="Y5" s="919" t="s">
        <v>1036</v>
      </c>
      <c r="AA5" s="920">
        <v>1</v>
      </c>
      <c r="AB5" s="920"/>
      <c r="AC5" s="920"/>
      <c r="AG5" s="1114"/>
      <c r="AH5" s="1115"/>
      <c r="AI5" s="1115"/>
      <c r="AJ5" s="1115"/>
      <c r="AK5" s="1115"/>
      <c r="AL5" s="1115"/>
      <c r="AM5" s="1116"/>
      <c r="AO5" s="1114"/>
      <c r="AP5" s="1115"/>
      <c r="AQ5" s="1115"/>
      <c r="AR5" s="1115"/>
      <c r="AS5" s="1115"/>
      <c r="AT5" s="1115"/>
      <c r="AU5" s="1116"/>
      <c r="AW5" s="1114"/>
      <c r="AX5" s="1115"/>
      <c r="AY5" s="1115"/>
      <c r="AZ5" s="1115"/>
      <c r="BA5" s="1115"/>
      <c r="BB5" s="1115"/>
      <c r="BC5" s="1116"/>
    </row>
    <row r="6" spans="2:55" ht="15.6" x14ac:dyDescent="0.3">
      <c r="B6" s="921" t="str">
        <f ca="1">' '!A385</f>
        <v>Lu</v>
      </c>
      <c r="C6" s="921" t="str">
        <f ca="1">' '!A386</f>
        <v>Ma</v>
      </c>
      <c r="D6" s="921" t="str">
        <f ca="1">' '!A387</f>
        <v>Me</v>
      </c>
      <c r="E6" s="921" t="str">
        <f ca="1">' '!A388</f>
        <v>Je</v>
      </c>
      <c r="F6" s="921" t="str">
        <f ca="1">' '!A389</f>
        <v>Ve</v>
      </c>
      <c r="G6" s="921" t="str">
        <f ca="1">' '!A390</f>
        <v>Sa</v>
      </c>
      <c r="H6" s="921" t="str">
        <f ca="1">' '!A384</f>
        <v>Di</v>
      </c>
      <c r="J6" s="921" t="str">
        <f ca="1">$B$6</f>
        <v>Lu</v>
      </c>
      <c r="K6" s="922" t="str">
        <f ca="1">$C$6</f>
        <v>Ma</v>
      </c>
      <c r="L6" s="922" t="str">
        <f ca="1">$D$6</f>
        <v>Me</v>
      </c>
      <c r="M6" s="922" t="str">
        <f ca="1">$E$6</f>
        <v>Je</v>
      </c>
      <c r="N6" s="922" t="str">
        <f ca="1">$F$6</f>
        <v>Ve</v>
      </c>
      <c r="O6" s="922" t="str">
        <f ca="1">$G$6</f>
        <v>Sa</v>
      </c>
      <c r="P6" s="923" t="str">
        <f ca="1">$H$6</f>
        <v>Di</v>
      </c>
      <c r="R6" s="921" t="str">
        <f ca="1">$B$6</f>
        <v>Lu</v>
      </c>
      <c r="S6" s="922" t="str">
        <f ca="1">$C$6</f>
        <v>Ma</v>
      </c>
      <c r="T6" s="922" t="str">
        <f ca="1">$D$6</f>
        <v>Me</v>
      </c>
      <c r="U6" s="922" t="str">
        <f ca="1">$E$6</f>
        <v>Je</v>
      </c>
      <c r="V6" s="922" t="str">
        <f ca="1">$F$6</f>
        <v>Ve</v>
      </c>
      <c r="W6" s="922" t="str">
        <f ca="1">$G$6</f>
        <v>Sa</v>
      </c>
      <c r="X6" s="923" t="str">
        <f ca="1">$H$6</f>
        <v>Di</v>
      </c>
      <c r="Y6" s="924" t="s">
        <v>1037</v>
      </c>
      <c r="AA6" s="920">
        <v>2</v>
      </c>
      <c r="AB6" s="925" t="s">
        <v>1038</v>
      </c>
      <c r="AC6" s="920"/>
      <c r="AG6" s="926"/>
      <c r="AH6" s="926"/>
      <c r="AI6" s="926"/>
      <c r="AJ6" s="926"/>
      <c r="AK6" s="926"/>
      <c r="AL6" s="926"/>
      <c r="AM6" s="926"/>
      <c r="AO6" s="926"/>
      <c r="AP6" s="927"/>
      <c r="AQ6" s="927"/>
      <c r="AR6" s="927"/>
      <c r="AS6" s="927"/>
      <c r="AT6" s="927"/>
      <c r="AU6" s="928"/>
      <c r="AW6" s="926"/>
      <c r="AX6" s="927"/>
      <c r="AY6" s="927"/>
      <c r="AZ6" s="927"/>
      <c r="BA6" s="927"/>
      <c r="BB6" s="927"/>
      <c r="BC6" s="928"/>
    </row>
    <row r="7" spans="2:55" x14ac:dyDescent="0.3">
      <c r="B7" s="929" t="str">
        <f t="shared" ref="B7:H12" ca="1" si="0">IF(MONTH($B$5)&lt;&gt;MONTH($B$5-(WEEKDAY($B$5,1)-($AA$6-1))-IF((WEEKDAY($B$5,1)-($AA$6-1))&lt;=0,7,0)+(ROW(B7)-ROW($B$7))*7+(COLUMN(B7)-COLUMN($B$7)+1)),"",$B$5-(WEEKDAY($B$5,1)-($AA$6-1))-IF((WEEKDAY($B$5,1)-($AA$6-1))&lt;=0,7,0)+(ROW(B7)-ROW($B$7))*7+(COLUMN(B7)-COLUMN($B$7)+1))</f>
        <v/>
      </c>
      <c r="C7" s="929" t="str">
        <f t="shared" ca="1" si="0"/>
        <v/>
      </c>
      <c r="D7" s="929" t="str">
        <f t="shared" ca="1" si="0"/>
        <v/>
      </c>
      <c r="E7" s="929">
        <f t="shared" ca="1" si="0"/>
        <v>46023</v>
      </c>
      <c r="F7" s="929">
        <f t="shared" ca="1" si="0"/>
        <v>46024</v>
      </c>
      <c r="G7" s="929">
        <f t="shared" ca="1" si="0"/>
        <v>46025</v>
      </c>
      <c r="H7" s="929">
        <f t="shared" ca="1" si="0"/>
        <v>46026</v>
      </c>
      <c r="J7" s="929" t="str">
        <f t="shared" ref="J7:P12" ca="1" si="1">IF(MONTH($J$5)&lt;&gt;MONTH($J$5-(WEEKDAY($J$5,1)-($AA$6-1))-IF((WEEKDAY($J$5,1)-($AA$6-1))&lt;=0,7,0)+(ROW(J7)-ROW($J$7))*7+(COLUMN(J7)-COLUMN($J$7)+1)),"",$J$5-(WEEKDAY($J$5,1)-($AA$6-1))-IF((WEEKDAY($J$5,1)-($AA$6-1))&lt;=0,7,0)+(ROW(J7)-ROW($J$7))*7+(COLUMN(J7)-COLUMN($J$7)+1))</f>
        <v/>
      </c>
      <c r="K7" s="929" t="str">
        <f t="shared" ca="1" si="1"/>
        <v/>
      </c>
      <c r="L7" s="929" t="str">
        <f t="shared" ca="1" si="1"/>
        <v/>
      </c>
      <c r="M7" s="929" t="str">
        <f t="shared" ca="1" si="1"/>
        <v/>
      </c>
      <c r="N7" s="929" t="str">
        <f t="shared" ca="1" si="1"/>
        <v/>
      </c>
      <c r="O7" s="929" t="str">
        <f t="shared" ca="1" si="1"/>
        <v/>
      </c>
      <c r="P7" s="929">
        <f t="shared" ca="1" si="1"/>
        <v>46054</v>
      </c>
      <c r="R7" s="929" t="str">
        <f t="shared" ref="R7:X12" ca="1" si="2">IF(MONTH($R$5)&lt;&gt;MONTH($R$5-(WEEKDAY($R$5,1)-($AA$6-1))-IF((WEEKDAY($R$5,1)-($AA$6-1))&lt;=0,7,0)+(ROW(R7)-ROW($R$7))*7+(COLUMN(R7)-COLUMN($R$7)+1)),"",$R$5-(WEEKDAY($R$5,1)-($AA$6-1))-IF((WEEKDAY($R$5,1)-($AA$6-1))&lt;=0,7,0)+(ROW(R7)-ROW($R$7))*7+(COLUMN(R7)-COLUMN($R$7)+1))</f>
        <v/>
      </c>
      <c r="S7" s="929" t="str">
        <f t="shared" ca="1" si="2"/>
        <v/>
      </c>
      <c r="T7" s="929" t="str">
        <f t="shared" ca="1" si="2"/>
        <v/>
      </c>
      <c r="U7" s="929" t="str">
        <f t="shared" ca="1" si="2"/>
        <v/>
      </c>
      <c r="V7" s="929" t="str">
        <f t="shared" ca="1" si="2"/>
        <v/>
      </c>
      <c r="W7" s="929" t="str">
        <f t="shared" ca="1" si="2"/>
        <v/>
      </c>
      <c r="X7" s="929">
        <f t="shared" ca="1" si="2"/>
        <v>46082</v>
      </c>
      <c r="AG7" s="930" t="str">
        <f t="shared" ref="AG7:AG12" ca="1" si="3">B7</f>
        <v/>
      </c>
      <c r="AH7" s="930" t="str">
        <f t="shared" ref="AH7:BC7" ca="1" si="4">C7</f>
        <v/>
      </c>
      <c r="AI7" s="930" t="str">
        <f t="shared" ca="1" si="4"/>
        <v/>
      </c>
      <c r="AJ7" s="930">
        <f t="shared" ca="1" si="4"/>
        <v>46023</v>
      </c>
      <c r="AK7" s="930">
        <f t="shared" ca="1" si="4"/>
        <v>46024</v>
      </c>
      <c r="AL7" s="930">
        <f t="shared" ca="1" si="4"/>
        <v>46025</v>
      </c>
      <c r="AM7" s="930">
        <f t="shared" ca="1" si="4"/>
        <v>46026</v>
      </c>
      <c r="AN7" s="930"/>
      <c r="AO7" s="930" t="str">
        <f t="shared" ca="1" si="4"/>
        <v/>
      </c>
      <c r="AP7" s="930" t="str">
        <f t="shared" ca="1" si="4"/>
        <v/>
      </c>
      <c r="AQ7" s="930" t="str">
        <f t="shared" ca="1" si="4"/>
        <v/>
      </c>
      <c r="AR7" s="930" t="str">
        <f t="shared" ca="1" si="4"/>
        <v/>
      </c>
      <c r="AS7" s="930" t="str">
        <f t="shared" ca="1" si="4"/>
        <v/>
      </c>
      <c r="AT7" s="930" t="str">
        <f t="shared" ca="1" si="4"/>
        <v/>
      </c>
      <c r="AU7" s="930">
        <f t="shared" ca="1" si="4"/>
        <v>46054</v>
      </c>
      <c r="AV7" s="930"/>
      <c r="AW7" s="930" t="str">
        <f t="shared" ca="1" si="4"/>
        <v/>
      </c>
      <c r="AX7" s="930" t="str">
        <f t="shared" ca="1" si="4"/>
        <v/>
      </c>
      <c r="AY7" s="930" t="str">
        <f t="shared" ca="1" si="4"/>
        <v/>
      </c>
      <c r="AZ7" s="930" t="str">
        <f t="shared" ca="1" si="4"/>
        <v/>
      </c>
      <c r="BA7" s="930" t="str">
        <f t="shared" ca="1" si="4"/>
        <v/>
      </c>
      <c r="BB7" s="930" t="str">
        <f t="shared" ca="1" si="4"/>
        <v/>
      </c>
      <c r="BC7" s="930">
        <f t="shared" ca="1" si="4"/>
        <v>46082</v>
      </c>
    </row>
    <row r="8" spans="2:55" x14ac:dyDescent="0.3">
      <c r="B8" s="929">
        <f t="shared" ca="1" si="0"/>
        <v>46027</v>
      </c>
      <c r="C8" s="929">
        <f t="shared" ca="1" si="0"/>
        <v>46028</v>
      </c>
      <c r="D8" s="929">
        <f t="shared" ca="1" si="0"/>
        <v>46029</v>
      </c>
      <c r="E8" s="929">
        <f t="shared" ca="1" si="0"/>
        <v>46030</v>
      </c>
      <c r="F8" s="929">
        <f t="shared" ca="1" si="0"/>
        <v>46031</v>
      </c>
      <c r="G8" s="929">
        <f t="shared" ca="1" si="0"/>
        <v>46032</v>
      </c>
      <c r="H8" s="929">
        <f t="shared" ca="1" si="0"/>
        <v>46033</v>
      </c>
      <c r="J8" s="929">
        <f t="shared" ca="1" si="1"/>
        <v>46055</v>
      </c>
      <c r="K8" s="929">
        <f t="shared" ca="1" si="1"/>
        <v>46056</v>
      </c>
      <c r="L8" s="929">
        <f t="shared" ca="1" si="1"/>
        <v>46057</v>
      </c>
      <c r="M8" s="929">
        <f t="shared" ca="1" si="1"/>
        <v>46058</v>
      </c>
      <c r="N8" s="929">
        <f t="shared" ca="1" si="1"/>
        <v>46059</v>
      </c>
      <c r="O8" s="929">
        <f t="shared" ca="1" si="1"/>
        <v>46060</v>
      </c>
      <c r="P8" s="929">
        <f t="shared" ca="1" si="1"/>
        <v>46061</v>
      </c>
      <c r="R8" s="929">
        <f t="shared" ca="1" si="2"/>
        <v>46083</v>
      </c>
      <c r="S8" s="929">
        <f t="shared" ca="1" si="2"/>
        <v>46084</v>
      </c>
      <c r="T8" s="929">
        <f t="shared" ca="1" si="2"/>
        <v>46085</v>
      </c>
      <c r="U8" s="929">
        <f t="shared" ca="1" si="2"/>
        <v>46086</v>
      </c>
      <c r="V8" s="929">
        <f t="shared" ca="1" si="2"/>
        <v>46087</v>
      </c>
      <c r="W8" s="929">
        <f t="shared" ca="1" si="2"/>
        <v>46088</v>
      </c>
      <c r="X8" s="929">
        <f t="shared" ca="1" si="2"/>
        <v>46089</v>
      </c>
      <c r="AG8" s="930">
        <f t="shared" ca="1" si="3"/>
        <v>46027</v>
      </c>
      <c r="AH8" s="930">
        <f t="shared" ref="AH8:AM12" ca="1" si="5">C8</f>
        <v>46028</v>
      </c>
      <c r="AI8" s="930">
        <f t="shared" ca="1" si="5"/>
        <v>46029</v>
      </c>
      <c r="AJ8" s="930">
        <f t="shared" ca="1" si="5"/>
        <v>46030</v>
      </c>
      <c r="AK8" s="930">
        <f t="shared" ca="1" si="5"/>
        <v>46031</v>
      </c>
      <c r="AL8" s="930">
        <f t="shared" ca="1" si="5"/>
        <v>46032</v>
      </c>
      <c r="AM8" s="930">
        <f t="shared" ca="1" si="5"/>
        <v>46033</v>
      </c>
      <c r="AN8" s="930"/>
      <c r="AO8" s="930">
        <f t="shared" ref="AO8:AU12" ca="1" si="6">J8</f>
        <v>46055</v>
      </c>
      <c r="AP8" s="930">
        <f t="shared" ca="1" si="6"/>
        <v>46056</v>
      </c>
      <c r="AQ8" s="930">
        <f t="shared" ca="1" si="6"/>
        <v>46057</v>
      </c>
      <c r="AR8" s="930">
        <f t="shared" ca="1" si="6"/>
        <v>46058</v>
      </c>
      <c r="AS8" s="930">
        <f t="shared" ca="1" si="6"/>
        <v>46059</v>
      </c>
      <c r="AT8" s="930">
        <f t="shared" ca="1" si="6"/>
        <v>46060</v>
      </c>
      <c r="AU8" s="930">
        <f t="shared" ca="1" si="6"/>
        <v>46061</v>
      </c>
      <c r="AV8" s="930"/>
      <c r="AW8" s="930">
        <f t="shared" ref="AW8:BC12" ca="1" si="7">R8</f>
        <v>46083</v>
      </c>
      <c r="AX8" s="930">
        <f t="shared" ca="1" si="7"/>
        <v>46084</v>
      </c>
      <c r="AY8" s="930">
        <f t="shared" ca="1" si="7"/>
        <v>46085</v>
      </c>
      <c r="AZ8" s="930">
        <f t="shared" ca="1" si="7"/>
        <v>46086</v>
      </c>
      <c r="BA8" s="930">
        <f t="shared" ca="1" si="7"/>
        <v>46087</v>
      </c>
      <c r="BB8" s="930">
        <f t="shared" ca="1" si="7"/>
        <v>46088</v>
      </c>
      <c r="BC8" s="930">
        <f t="shared" ca="1" si="7"/>
        <v>46089</v>
      </c>
    </row>
    <row r="9" spans="2:55" x14ac:dyDescent="0.3">
      <c r="B9" s="929">
        <f t="shared" ca="1" si="0"/>
        <v>46034</v>
      </c>
      <c r="C9" s="929">
        <f t="shared" ca="1" si="0"/>
        <v>46035</v>
      </c>
      <c r="D9" s="929">
        <f t="shared" ca="1" si="0"/>
        <v>46036</v>
      </c>
      <c r="E9" s="929">
        <f t="shared" ca="1" si="0"/>
        <v>46037</v>
      </c>
      <c r="F9" s="929">
        <f t="shared" ca="1" si="0"/>
        <v>46038</v>
      </c>
      <c r="G9" s="929">
        <f t="shared" ca="1" si="0"/>
        <v>46039</v>
      </c>
      <c r="H9" s="929">
        <f t="shared" ca="1" si="0"/>
        <v>46040</v>
      </c>
      <c r="J9" s="929">
        <f t="shared" ca="1" si="1"/>
        <v>46062</v>
      </c>
      <c r="K9" s="929">
        <f t="shared" ca="1" si="1"/>
        <v>46063</v>
      </c>
      <c r="L9" s="929">
        <f t="shared" ca="1" si="1"/>
        <v>46064</v>
      </c>
      <c r="M9" s="929">
        <f t="shared" ca="1" si="1"/>
        <v>46065</v>
      </c>
      <c r="N9" s="929">
        <f t="shared" ca="1" si="1"/>
        <v>46066</v>
      </c>
      <c r="O9" s="929">
        <f t="shared" ca="1" si="1"/>
        <v>46067</v>
      </c>
      <c r="P9" s="929">
        <f t="shared" ca="1" si="1"/>
        <v>46068</v>
      </c>
      <c r="R9" s="929">
        <f t="shared" ca="1" si="2"/>
        <v>46090</v>
      </c>
      <c r="S9" s="929">
        <f t="shared" ca="1" si="2"/>
        <v>46091</v>
      </c>
      <c r="T9" s="929">
        <f t="shared" ca="1" si="2"/>
        <v>46092</v>
      </c>
      <c r="U9" s="929">
        <f t="shared" ca="1" si="2"/>
        <v>46093</v>
      </c>
      <c r="V9" s="929">
        <f t="shared" ca="1" si="2"/>
        <v>46094</v>
      </c>
      <c r="W9" s="929">
        <f t="shared" ca="1" si="2"/>
        <v>46095</v>
      </c>
      <c r="X9" s="929">
        <f t="shared" ca="1" si="2"/>
        <v>46096</v>
      </c>
      <c r="AG9" s="930">
        <f t="shared" ca="1" si="3"/>
        <v>46034</v>
      </c>
      <c r="AH9" s="930">
        <f t="shared" ca="1" si="5"/>
        <v>46035</v>
      </c>
      <c r="AI9" s="930">
        <f t="shared" ca="1" si="5"/>
        <v>46036</v>
      </c>
      <c r="AJ9" s="930">
        <f t="shared" ca="1" si="5"/>
        <v>46037</v>
      </c>
      <c r="AK9" s="930">
        <f t="shared" ca="1" si="5"/>
        <v>46038</v>
      </c>
      <c r="AL9" s="930">
        <f t="shared" ca="1" si="5"/>
        <v>46039</v>
      </c>
      <c r="AM9" s="930">
        <f t="shared" ca="1" si="5"/>
        <v>46040</v>
      </c>
      <c r="AN9" s="930"/>
      <c r="AO9" s="930">
        <f t="shared" ca="1" si="6"/>
        <v>46062</v>
      </c>
      <c r="AP9" s="930">
        <f t="shared" ca="1" si="6"/>
        <v>46063</v>
      </c>
      <c r="AQ9" s="930">
        <f t="shared" ca="1" si="6"/>
        <v>46064</v>
      </c>
      <c r="AR9" s="930">
        <f t="shared" ca="1" si="6"/>
        <v>46065</v>
      </c>
      <c r="AS9" s="930">
        <f t="shared" ca="1" si="6"/>
        <v>46066</v>
      </c>
      <c r="AT9" s="930">
        <f t="shared" ca="1" si="6"/>
        <v>46067</v>
      </c>
      <c r="AU9" s="930">
        <f t="shared" ca="1" si="6"/>
        <v>46068</v>
      </c>
      <c r="AV9" s="930"/>
      <c r="AW9" s="930">
        <f t="shared" ca="1" si="7"/>
        <v>46090</v>
      </c>
      <c r="AX9" s="930">
        <f t="shared" ca="1" si="7"/>
        <v>46091</v>
      </c>
      <c r="AY9" s="930">
        <f t="shared" ca="1" si="7"/>
        <v>46092</v>
      </c>
      <c r="AZ9" s="930">
        <f t="shared" ca="1" si="7"/>
        <v>46093</v>
      </c>
      <c r="BA9" s="930">
        <f t="shared" ca="1" si="7"/>
        <v>46094</v>
      </c>
      <c r="BB9" s="930">
        <f t="shared" ca="1" si="7"/>
        <v>46095</v>
      </c>
      <c r="BC9" s="930">
        <f t="shared" ca="1" si="7"/>
        <v>46096</v>
      </c>
    </row>
    <row r="10" spans="2:55" x14ac:dyDescent="0.3">
      <c r="B10" s="929">
        <f t="shared" ca="1" si="0"/>
        <v>46041</v>
      </c>
      <c r="C10" s="929">
        <f t="shared" ca="1" si="0"/>
        <v>46042</v>
      </c>
      <c r="D10" s="929">
        <f t="shared" ca="1" si="0"/>
        <v>46043</v>
      </c>
      <c r="E10" s="929">
        <f t="shared" ca="1" si="0"/>
        <v>46044</v>
      </c>
      <c r="F10" s="929">
        <f t="shared" ca="1" si="0"/>
        <v>46045</v>
      </c>
      <c r="G10" s="929">
        <f t="shared" ca="1" si="0"/>
        <v>46046</v>
      </c>
      <c r="H10" s="929">
        <f t="shared" ca="1" si="0"/>
        <v>46047</v>
      </c>
      <c r="J10" s="929">
        <f t="shared" ca="1" si="1"/>
        <v>46069</v>
      </c>
      <c r="K10" s="929">
        <f t="shared" ca="1" si="1"/>
        <v>46070</v>
      </c>
      <c r="L10" s="929">
        <f t="shared" ca="1" si="1"/>
        <v>46071</v>
      </c>
      <c r="M10" s="929">
        <f t="shared" ca="1" si="1"/>
        <v>46072</v>
      </c>
      <c r="N10" s="929">
        <f t="shared" ca="1" si="1"/>
        <v>46073</v>
      </c>
      <c r="O10" s="929">
        <f t="shared" ca="1" si="1"/>
        <v>46074</v>
      </c>
      <c r="P10" s="929">
        <f t="shared" ca="1" si="1"/>
        <v>46075</v>
      </c>
      <c r="R10" s="929">
        <f t="shared" ca="1" si="2"/>
        <v>46097</v>
      </c>
      <c r="S10" s="929">
        <f t="shared" ca="1" si="2"/>
        <v>46098</v>
      </c>
      <c r="T10" s="929">
        <f t="shared" ca="1" si="2"/>
        <v>46099</v>
      </c>
      <c r="U10" s="929">
        <f t="shared" ca="1" si="2"/>
        <v>46100</v>
      </c>
      <c r="V10" s="929">
        <f t="shared" ca="1" si="2"/>
        <v>46101</v>
      </c>
      <c r="W10" s="929">
        <f t="shared" ca="1" si="2"/>
        <v>46102</v>
      </c>
      <c r="X10" s="929">
        <f t="shared" ca="1" si="2"/>
        <v>46103</v>
      </c>
      <c r="AG10" s="930">
        <f t="shared" ca="1" si="3"/>
        <v>46041</v>
      </c>
      <c r="AH10" s="930">
        <f t="shared" ca="1" si="5"/>
        <v>46042</v>
      </c>
      <c r="AI10" s="930">
        <f t="shared" ca="1" si="5"/>
        <v>46043</v>
      </c>
      <c r="AJ10" s="930">
        <f t="shared" ca="1" si="5"/>
        <v>46044</v>
      </c>
      <c r="AK10" s="930">
        <f t="shared" ca="1" si="5"/>
        <v>46045</v>
      </c>
      <c r="AL10" s="930">
        <f t="shared" ca="1" si="5"/>
        <v>46046</v>
      </c>
      <c r="AM10" s="930">
        <f t="shared" ca="1" si="5"/>
        <v>46047</v>
      </c>
      <c r="AN10" s="930"/>
      <c r="AO10" s="930">
        <f t="shared" ca="1" si="6"/>
        <v>46069</v>
      </c>
      <c r="AP10" s="930">
        <f t="shared" ca="1" si="6"/>
        <v>46070</v>
      </c>
      <c r="AQ10" s="930">
        <f t="shared" ca="1" si="6"/>
        <v>46071</v>
      </c>
      <c r="AR10" s="930">
        <f t="shared" ca="1" si="6"/>
        <v>46072</v>
      </c>
      <c r="AS10" s="930">
        <f t="shared" ca="1" si="6"/>
        <v>46073</v>
      </c>
      <c r="AT10" s="930">
        <f t="shared" ca="1" si="6"/>
        <v>46074</v>
      </c>
      <c r="AU10" s="930">
        <f t="shared" ca="1" si="6"/>
        <v>46075</v>
      </c>
      <c r="AV10" s="930"/>
      <c r="AW10" s="930">
        <f t="shared" ca="1" si="7"/>
        <v>46097</v>
      </c>
      <c r="AX10" s="930">
        <f t="shared" ca="1" si="7"/>
        <v>46098</v>
      </c>
      <c r="AY10" s="930">
        <f t="shared" ca="1" si="7"/>
        <v>46099</v>
      </c>
      <c r="AZ10" s="930">
        <f t="shared" ca="1" si="7"/>
        <v>46100</v>
      </c>
      <c r="BA10" s="930">
        <f t="shared" ca="1" si="7"/>
        <v>46101</v>
      </c>
      <c r="BB10" s="930">
        <f t="shared" ca="1" si="7"/>
        <v>46102</v>
      </c>
      <c r="BC10" s="930">
        <f t="shared" ca="1" si="7"/>
        <v>46103</v>
      </c>
    </row>
    <row r="11" spans="2:55" x14ac:dyDescent="0.3">
      <c r="B11" s="929">
        <f t="shared" ca="1" si="0"/>
        <v>46048</v>
      </c>
      <c r="C11" s="929">
        <f t="shared" ca="1" si="0"/>
        <v>46049</v>
      </c>
      <c r="D11" s="929">
        <f t="shared" ca="1" si="0"/>
        <v>46050</v>
      </c>
      <c r="E11" s="929">
        <f t="shared" ca="1" si="0"/>
        <v>46051</v>
      </c>
      <c r="F11" s="929">
        <f t="shared" ca="1" si="0"/>
        <v>46052</v>
      </c>
      <c r="G11" s="929">
        <f t="shared" ca="1" si="0"/>
        <v>46053</v>
      </c>
      <c r="H11" s="929" t="str">
        <f t="shared" ca="1" si="0"/>
        <v/>
      </c>
      <c r="J11" s="929">
        <f t="shared" ca="1" si="1"/>
        <v>46076</v>
      </c>
      <c r="K11" s="929">
        <f t="shared" ca="1" si="1"/>
        <v>46077</v>
      </c>
      <c r="L11" s="929">
        <f t="shared" ca="1" si="1"/>
        <v>46078</v>
      </c>
      <c r="M11" s="929">
        <f t="shared" ca="1" si="1"/>
        <v>46079</v>
      </c>
      <c r="N11" s="929">
        <f t="shared" ca="1" si="1"/>
        <v>46080</v>
      </c>
      <c r="O11" s="929">
        <f t="shared" ca="1" si="1"/>
        <v>46081</v>
      </c>
      <c r="P11" s="929" t="str">
        <f t="shared" ca="1" si="1"/>
        <v/>
      </c>
      <c r="R11" s="929">
        <f t="shared" ca="1" si="2"/>
        <v>46104</v>
      </c>
      <c r="S11" s="929">
        <f t="shared" ca="1" si="2"/>
        <v>46105</v>
      </c>
      <c r="T11" s="929">
        <f t="shared" ca="1" si="2"/>
        <v>46106</v>
      </c>
      <c r="U11" s="929">
        <f t="shared" ca="1" si="2"/>
        <v>46107</v>
      </c>
      <c r="V11" s="929">
        <f t="shared" ca="1" si="2"/>
        <v>46108</v>
      </c>
      <c r="W11" s="929">
        <f t="shared" ca="1" si="2"/>
        <v>46109</v>
      </c>
      <c r="X11" s="929">
        <f t="shared" ca="1" si="2"/>
        <v>46110</v>
      </c>
      <c r="AG11" s="930">
        <f t="shared" ca="1" si="3"/>
        <v>46048</v>
      </c>
      <c r="AH11" s="930">
        <f t="shared" ca="1" si="5"/>
        <v>46049</v>
      </c>
      <c r="AI11" s="930">
        <f t="shared" ca="1" si="5"/>
        <v>46050</v>
      </c>
      <c r="AJ11" s="930">
        <f t="shared" ca="1" si="5"/>
        <v>46051</v>
      </c>
      <c r="AK11" s="930">
        <f t="shared" ca="1" si="5"/>
        <v>46052</v>
      </c>
      <c r="AL11" s="930">
        <f t="shared" ca="1" si="5"/>
        <v>46053</v>
      </c>
      <c r="AM11" s="930" t="str">
        <f t="shared" ca="1" si="5"/>
        <v/>
      </c>
      <c r="AN11" s="930"/>
      <c r="AO11" s="930">
        <f t="shared" ca="1" si="6"/>
        <v>46076</v>
      </c>
      <c r="AP11" s="930">
        <f t="shared" ca="1" si="6"/>
        <v>46077</v>
      </c>
      <c r="AQ11" s="930">
        <f t="shared" ca="1" si="6"/>
        <v>46078</v>
      </c>
      <c r="AR11" s="930">
        <f t="shared" ca="1" si="6"/>
        <v>46079</v>
      </c>
      <c r="AS11" s="930">
        <f t="shared" ca="1" si="6"/>
        <v>46080</v>
      </c>
      <c r="AT11" s="930">
        <f t="shared" ca="1" si="6"/>
        <v>46081</v>
      </c>
      <c r="AU11" s="930" t="str">
        <f t="shared" ca="1" si="6"/>
        <v/>
      </c>
      <c r="AV11" s="930"/>
      <c r="AW11" s="930">
        <f t="shared" ca="1" si="7"/>
        <v>46104</v>
      </c>
      <c r="AX11" s="930">
        <f t="shared" ca="1" si="7"/>
        <v>46105</v>
      </c>
      <c r="AY11" s="930">
        <f t="shared" ca="1" si="7"/>
        <v>46106</v>
      </c>
      <c r="AZ11" s="930">
        <f t="shared" ca="1" si="7"/>
        <v>46107</v>
      </c>
      <c r="BA11" s="930">
        <f t="shared" ca="1" si="7"/>
        <v>46108</v>
      </c>
      <c r="BB11" s="930">
        <f t="shared" ca="1" si="7"/>
        <v>46109</v>
      </c>
      <c r="BC11" s="930">
        <f t="shared" ca="1" si="7"/>
        <v>46110</v>
      </c>
    </row>
    <row r="12" spans="2:55" x14ac:dyDescent="0.3">
      <c r="B12" s="929" t="str">
        <f t="shared" ca="1" si="0"/>
        <v/>
      </c>
      <c r="C12" s="929" t="str">
        <f t="shared" ca="1" si="0"/>
        <v/>
      </c>
      <c r="D12" s="929" t="str">
        <f t="shared" ca="1" si="0"/>
        <v/>
      </c>
      <c r="E12" s="929" t="str">
        <f t="shared" ca="1" si="0"/>
        <v/>
      </c>
      <c r="F12" s="929" t="str">
        <f t="shared" ca="1" si="0"/>
        <v/>
      </c>
      <c r="G12" s="929" t="str">
        <f t="shared" ca="1" si="0"/>
        <v/>
      </c>
      <c r="H12" s="929" t="str">
        <f t="shared" ca="1" si="0"/>
        <v/>
      </c>
      <c r="J12" s="929" t="str">
        <f t="shared" ca="1" si="1"/>
        <v/>
      </c>
      <c r="K12" s="929" t="str">
        <f t="shared" ca="1" si="1"/>
        <v/>
      </c>
      <c r="L12" s="929" t="str">
        <f t="shared" ca="1" si="1"/>
        <v/>
      </c>
      <c r="M12" s="929" t="str">
        <f t="shared" ca="1" si="1"/>
        <v/>
      </c>
      <c r="N12" s="929" t="str">
        <f t="shared" ca="1" si="1"/>
        <v/>
      </c>
      <c r="O12" s="929" t="str">
        <f t="shared" ca="1" si="1"/>
        <v/>
      </c>
      <c r="P12" s="929" t="str">
        <f t="shared" ca="1" si="1"/>
        <v/>
      </c>
      <c r="R12" s="929">
        <f t="shared" ca="1" si="2"/>
        <v>46111</v>
      </c>
      <c r="S12" s="929">
        <f t="shared" ca="1" si="2"/>
        <v>46112</v>
      </c>
      <c r="T12" s="929" t="str">
        <f t="shared" ca="1" si="2"/>
        <v/>
      </c>
      <c r="U12" s="929" t="str">
        <f t="shared" ca="1" si="2"/>
        <v/>
      </c>
      <c r="V12" s="929" t="str">
        <f t="shared" ca="1" si="2"/>
        <v/>
      </c>
      <c r="W12" s="929" t="str">
        <f t="shared" ca="1" si="2"/>
        <v/>
      </c>
      <c r="X12" s="929" t="str">
        <f t="shared" ca="1" si="2"/>
        <v/>
      </c>
      <c r="AG12" s="930" t="str">
        <f t="shared" ca="1" si="3"/>
        <v/>
      </c>
      <c r="AH12" s="930" t="str">
        <f t="shared" ca="1" si="5"/>
        <v/>
      </c>
      <c r="AI12" s="930" t="str">
        <f t="shared" ca="1" si="5"/>
        <v/>
      </c>
      <c r="AJ12" s="930" t="str">
        <f t="shared" ca="1" si="5"/>
        <v/>
      </c>
      <c r="AK12" s="930" t="str">
        <f t="shared" ca="1" si="5"/>
        <v/>
      </c>
      <c r="AL12" s="930" t="str">
        <f t="shared" ca="1" si="5"/>
        <v/>
      </c>
      <c r="AM12" s="930" t="str">
        <f t="shared" ca="1" si="5"/>
        <v/>
      </c>
      <c r="AN12" s="930"/>
      <c r="AO12" s="930" t="str">
        <f t="shared" ca="1" si="6"/>
        <v/>
      </c>
      <c r="AP12" s="930" t="str">
        <f t="shared" ca="1" si="6"/>
        <v/>
      </c>
      <c r="AQ12" s="930" t="str">
        <f t="shared" ca="1" si="6"/>
        <v/>
      </c>
      <c r="AR12" s="930" t="str">
        <f t="shared" ca="1" si="6"/>
        <v/>
      </c>
      <c r="AS12" s="930" t="str">
        <f t="shared" ca="1" si="6"/>
        <v/>
      </c>
      <c r="AT12" s="930" t="str">
        <f t="shared" ca="1" si="6"/>
        <v/>
      </c>
      <c r="AU12" s="930" t="str">
        <f t="shared" ca="1" si="6"/>
        <v/>
      </c>
      <c r="AV12" s="930"/>
      <c r="AW12" s="930">
        <f t="shared" ca="1" si="7"/>
        <v>46111</v>
      </c>
      <c r="AX12" s="930">
        <f t="shared" ca="1" si="7"/>
        <v>46112</v>
      </c>
      <c r="AY12" s="930" t="str">
        <f t="shared" ca="1" si="7"/>
        <v/>
      </c>
      <c r="AZ12" s="930" t="str">
        <f t="shared" ca="1" si="7"/>
        <v/>
      </c>
      <c r="BA12" s="930" t="str">
        <f t="shared" ca="1" si="7"/>
        <v/>
      </c>
      <c r="BB12" s="930" t="str">
        <f t="shared" ca="1" si="7"/>
        <v/>
      </c>
      <c r="BC12" s="930" t="str">
        <f t="shared" ca="1" si="7"/>
        <v/>
      </c>
    </row>
    <row r="13" spans="2:55" ht="8.1" customHeight="1" x14ac:dyDescent="0.3"/>
    <row r="14" spans="2:55" ht="15.6" x14ac:dyDescent="0.3">
      <c r="B14" s="1119">
        <f ca="1">DATE(YEAR(R5+35),MONTH(R5+35),1)</f>
        <v>46113</v>
      </c>
      <c r="C14" s="1120"/>
      <c r="D14" s="1120"/>
      <c r="E14" s="1120"/>
      <c r="F14" s="1120"/>
      <c r="G14" s="1120"/>
      <c r="H14" s="1121"/>
      <c r="J14" s="1119">
        <f ca="1">DATE(YEAR(B14+35),MONTH(B14+35),1)</f>
        <v>46143</v>
      </c>
      <c r="K14" s="1120"/>
      <c r="L14" s="1120"/>
      <c r="M14" s="1120"/>
      <c r="N14" s="1120"/>
      <c r="O14" s="1120"/>
      <c r="P14" s="1121"/>
      <c r="R14" s="1119">
        <f ca="1">DATE(YEAR(J14+35),MONTH(J14+35),1)</f>
        <v>46174</v>
      </c>
      <c r="S14" s="1120"/>
      <c r="T14" s="1120"/>
      <c r="U14" s="1120"/>
      <c r="V14" s="1120"/>
      <c r="W14" s="1120"/>
      <c r="X14" s="1121"/>
      <c r="AG14" s="1114"/>
      <c r="AH14" s="1115"/>
      <c r="AI14" s="1115"/>
      <c r="AJ14" s="1115"/>
      <c r="AK14" s="1115"/>
      <c r="AL14" s="1115"/>
      <c r="AM14" s="1116"/>
      <c r="AO14" s="1114"/>
      <c r="AP14" s="1115"/>
      <c r="AQ14" s="1115"/>
      <c r="AR14" s="1115"/>
      <c r="AS14" s="1115"/>
      <c r="AT14" s="1115"/>
      <c r="AU14" s="1116"/>
      <c r="AW14" s="1114"/>
      <c r="AX14" s="1115"/>
      <c r="AY14" s="1115"/>
      <c r="AZ14" s="1115"/>
      <c r="BA14" s="1115"/>
      <c r="BB14" s="1115"/>
      <c r="BC14" s="1116"/>
    </row>
    <row r="15" spans="2:55" x14ac:dyDescent="0.3">
      <c r="B15" s="921" t="str">
        <f ca="1">$B$6</f>
        <v>Lu</v>
      </c>
      <c r="C15" s="922" t="str">
        <f ca="1">$C$6</f>
        <v>Ma</v>
      </c>
      <c r="D15" s="922" t="str">
        <f ca="1">$D$6</f>
        <v>Me</v>
      </c>
      <c r="E15" s="922" t="str">
        <f ca="1">$E$6</f>
        <v>Je</v>
      </c>
      <c r="F15" s="922" t="str">
        <f ca="1">$F$6</f>
        <v>Ve</v>
      </c>
      <c r="G15" s="922" t="str">
        <f ca="1">$G$6</f>
        <v>Sa</v>
      </c>
      <c r="H15" s="923" t="str">
        <f ca="1">$H$6</f>
        <v>Di</v>
      </c>
      <c r="J15" s="921" t="str">
        <f ca="1">$B$6</f>
        <v>Lu</v>
      </c>
      <c r="K15" s="922" t="str">
        <f ca="1">$C$6</f>
        <v>Ma</v>
      </c>
      <c r="L15" s="922" t="str">
        <f ca="1">$D$6</f>
        <v>Me</v>
      </c>
      <c r="M15" s="922" t="str">
        <f ca="1">$E$6</f>
        <v>Je</v>
      </c>
      <c r="N15" s="922" t="str">
        <f ca="1">$F$6</f>
        <v>Ve</v>
      </c>
      <c r="O15" s="922" t="str">
        <f ca="1">$G$6</f>
        <v>Sa</v>
      </c>
      <c r="P15" s="923" t="str">
        <f ca="1">$H$6</f>
        <v>Di</v>
      </c>
      <c r="R15" s="921" t="str">
        <f ca="1">$B$6</f>
        <v>Lu</v>
      </c>
      <c r="S15" s="922" t="str">
        <f ca="1">$C$6</f>
        <v>Ma</v>
      </c>
      <c r="T15" s="922" t="str">
        <f ca="1">$D$6</f>
        <v>Me</v>
      </c>
      <c r="U15" s="922" t="str">
        <f ca="1">$E$6</f>
        <v>Je</v>
      </c>
      <c r="V15" s="922" t="str">
        <f ca="1">$F$6</f>
        <v>Ve</v>
      </c>
      <c r="W15" s="922" t="str">
        <f ca="1">$G$6</f>
        <v>Sa</v>
      </c>
      <c r="X15" s="923" t="str">
        <f ca="1">$H$6</f>
        <v>Di</v>
      </c>
      <c r="AG15" s="926"/>
      <c r="AH15" s="927"/>
      <c r="AI15" s="927"/>
      <c r="AJ15" s="927"/>
      <c r="AK15" s="927"/>
      <c r="AL15" s="927"/>
      <c r="AM15" s="928"/>
      <c r="AO15" s="926"/>
      <c r="AP15" s="927"/>
      <c r="AQ15" s="927"/>
      <c r="AR15" s="927"/>
      <c r="AS15" s="927"/>
      <c r="AT15" s="927"/>
      <c r="AU15" s="928"/>
      <c r="AW15" s="926"/>
      <c r="AX15" s="927"/>
      <c r="AY15" s="927"/>
      <c r="AZ15" s="927"/>
      <c r="BA15" s="927"/>
      <c r="BB15" s="927"/>
      <c r="BC15" s="928"/>
    </row>
    <row r="16" spans="2:55" x14ac:dyDescent="0.3">
      <c r="B16" s="929" t="str">
        <f t="shared" ref="B16:H21" ca="1" si="8">IF(MONTH($B$14)&lt;&gt;MONTH($B$14-(WEEKDAY($B$14,1)-($AA$6-1))-IF((WEEKDAY($B$14,1)-($AA$6-1))&lt;=0,7,0)+(ROW(B16)-ROW($B$16))*7+(COLUMN(B16)-COLUMN($B$16)+1)),"",$B$14-(WEEKDAY($B$14,1)-($AA$6-1))-IF((WEEKDAY($B$14,1)-($AA$6-1))&lt;=0,7,0)+(ROW(B16)-ROW($B$16))*7+(COLUMN(B16)-COLUMN($B$16)+1))</f>
        <v/>
      </c>
      <c r="C16" s="929" t="str">
        <f t="shared" ca="1" si="8"/>
        <v/>
      </c>
      <c r="D16" s="929">
        <f t="shared" ca="1" si="8"/>
        <v>46113</v>
      </c>
      <c r="E16" s="929">
        <f t="shared" ca="1" si="8"/>
        <v>46114</v>
      </c>
      <c r="F16" s="929">
        <f t="shared" ca="1" si="8"/>
        <v>46115</v>
      </c>
      <c r="G16" s="929">
        <f t="shared" ca="1" si="8"/>
        <v>46116</v>
      </c>
      <c r="H16" s="929">
        <f t="shared" ca="1" si="8"/>
        <v>46117</v>
      </c>
      <c r="J16" s="929" t="str">
        <f t="shared" ref="J16:P21" ca="1" si="9">IF(MONTH($J$14)&lt;&gt;MONTH($J$14-(WEEKDAY($J$14,1)-($AA$6-1))-IF((WEEKDAY($J$14,1)-($AA$6-1))&lt;=0,7,0)+(ROW(J16)-ROW($J$16))*7+(COLUMN(J16)-COLUMN($J$16)+1)),"",$J$14-(WEEKDAY($J$14,1)-($AA$6-1))-IF((WEEKDAY($J$14,1)-($AA$6-1))&lt;=0,7,0)+(ROW(J16)-ROW($J$16))*7+(COLUMN(J16)-COLUMN($J$16)+1))</f>
        <v/>
      </c>
      <c r="K16" s="929" t="str">
        <f t="shared" ca="1" si="9"/>
        <v/>
      </c>
      <c r="L16" s="929" t="str">
        <f t="shared" ca="1" si="9"/>
        <v/>
      </c>
      <c r="M16" s="929" t="str">
        <f t="shared" ca="1" si="9"/>
        <v/>
      </c>
      <c r="N16" s="929">
        <f t="shared" ca="1" si="9"/>
        <v>46143</v>
      </c>
      <c r="O16" s="929">
        <f t="shared" ca="1" si="9"/>
        <v>46144</v>
      </c>
      <c r="P16" s="929">
        <f t="shared" ca="1" si="9"/>
        <v>46145</v>
      </c>
      <c r="R16" s="929">
        <f t="shared" ref="R16:X21" ca="1" si="10">IF(MONTH($R$14)&lt;&gt;MONTH($R$14-(WEEKDAY($R$14,1)-($AA$6-1))-IF((WEEKDAY($R$14,1)-($AA$6-1))&lt;=0,7,0)+(ROW(R16)-ROW($R$16))*7+(COLUMN(R16)-COLUMN($R$16)+1)),"",$R$14-(WEEKDAY($R$14,1)-($AA$6-1))-IF((WEEKDAY($R$14,1)-($AA$6-1))&lt;=0,7,0)+(ROW(R16)-ROW($R$16))*7+(COLUMN(R16)-COLUMN($R$16)+1))</f>
        <v>46174</v>
      </c>
      <c r="S16" s="929">
        <f t="shared" ca="1" si="10"/>
        <v>46175</v>
      </c>
      <c r="T16" s="929">
        <f t="shared" ca="1" si="10"/>
        <v>46176</v>
      </c>
      <c r="U16" s="929">
        <f t="shared" ca="1" si="10"/>
        <v>46177</v>
      </c>
      <c r="V16" s="929">
        <f t="shared" ca="1" si="10"/>
        <v>46178</v>
      </c>
      <c r="W16" s="929">
        <f t="shared" ca="1" si="10"/>
        <v>46179</v>
      </c>
      <c r="X16" s="929">
        <f t="shared" ca="1" si="10"/>
        <v>46180</v>
      </c>
      <c r="AG16" s="930" t="str">
        <f t="shared" ref="AG16:AG21" ca="1" si="11">B16</f>
        <v/>
      </c>
      <c r="AH16" s="930" t="str">
        <f t="shared" ref="AH16:AH21" ca="1" si="12">C16</f>
        <v/>
      </c>
      <c r="AI16" s="930">
        <f t="shared" ref="AI16:AI21" ca="1" si="13">D16</f>
        <v>46113</v>
      </c>
      <c r="AJ16" s="930">
        <f t="shared" ref="AJ16:AJ21" ca="1" si="14">E16</f>
        <v>46114</v>
      </c>
      <c r="AK16" s="930">
        <f t="shared" ref="AK16:AK21" ca="1" si="15">F16</f>
        <v>46115</v>
      </c>
      <c r="AL16" s="930">
        <f t="shared" ref="AL16:AL21" ca="1" si="16">G16</f>
        <v>46116</v>
      </c>
      <c r="AM16" s="930">
        <f t="shared" ref="AM16:AM21" ca="1" si="17">H16</f>
        <v>46117</v>
      </c>
      <c r="AN16" s="930"/>
      <c r="AO16" s="930" t="str">
        <f t="shared" ref="AO16:AO21" ca="1" si="18">J16</f>
        <v/>
      </c>
      <c r="AP16" s="930" t="str">
        <f t="shared" ref="AP16:AP21" ca="1" si="19">K16</f>
        <v/>
      </c>
      <c r="AQ16" s="930" t="str">
        <f t="shared" ref="AQ16:AQ21" ca="1" si="20">L16</f>
        <v/>
      </c>
      <c r="AR16" s="930" t="str">
        <f t="shared" ref="AR16:AR21" ca="1" si="21">M16</f>
        <v/>
      </c>
      <c r="AS16" s="930">
        <f t="shared" ref="AS16:AS21" ca="1" si="22">N16</f>
        <v>46143</v>
      </c>
      <c r="AT16" s="930">
        <f t="shared" ref="AT16:AT21" ca="1" si="23">O16</f>
        <v>46144</v>
      </c>
      <c r="AU16" s="930">
        <f t="shared" ref="AU16:AU21" ca="1" si="24">P16</f>
        <v>46145</v>
      </c>
      <c r="AV16" s="930"/>
      <c r="AW16" s="930">
        <f t="shared" ref="AW16:AW21" ca="1" si="25">R16</f>
        <v>46174</v>
      </c>
      <c r="AX16" s="930">
        <f t="shared" ref="AX16:AX21" ca="1" si="26">S16</f>
        <v>46175</v>
      </c>
      <c r="AY16" s="930">
        <f t="shared" ref="AY16:AY21" ca="1" si="27">T16</f>
        <v>46176</v>
      </c>
      <c r="AZ16" s="930">
        <f t="shared" ref="AZ16:AZ21" ca="1" si="28">U16</f>
        <v>46177</v>
      </c>
      <c r="BA16" s="930">
        <f t="shared" ref="BA16:BA21" ca="1" si="29">V16</f>
        <v>46178</v>
      </c>
      <c r="BB16" s="930">
        <f t="shared" ref="BB16:BB21" ca="1" si="30">W16</f>
        <v>46179</v>
      </c>
      <c r="BC16" s="930">
        <f t="shared" ref="BC16:BC21" ca="1" si="31">X16</f>
        <v>46180</v>
      </c>
    </row>
    <row r="17" spans="2:55" x14ac:dyDescent="0.3">
      <c r="B17" s="929">
        <f t="shared" ca="1" si="8"/>
        <v>46118</v>
      </c>
      <c r="C17" s="929">
        <f t="shared" ca="1" si="8"/>
        <v>46119</v>
      </c>
      <c r="D17" s="929">
        <f t="shared" ca="1" si="8"/>
        <v>46120</v>
      </c>
      <c r="E17" s="929">
        <f t="shared" ca="1" si="8"/>
        <v>46121</v>
      </c>
      <c r="F17" s="929">
        <f t="shared" ca="1" si="8"/>
        <v>46122</v>
      </c>
      <c r="G17" s="929">
        <f t="shared" ca="1" si="8"/>
        <v>46123</v>
      </c>
      <c r="H17" s="929">
        <f t="shared" ca="1" si="8"/>
        <v>46124</v>
      </c>
      <c r="J17" s="929">
        <f t="shared" ca="1" si="9"/>
        <v>46146</v>
      </c>
      <c r="K17" s="929">
        <f t="shared" ca="1" si="9"/>
        <v>46147</v>
      </c>
      <c r="L17" s="929">
        <f t="shared" ca="1" si="9"/>
        <v>46148</v>
      </c>
      <c r="M17" s="929">
        <f t="shared" ca="1" si="9"/>
        <v>46149</v>
      </c>
      <c r="N17" s="929">
        <f t="shared" ca="1" si="9"/>
        <v>46150</v>
      </c>
      <c r="O17" s="929">
        <f t="shared" ca="1" si="9"/>
        <v>46151</v>
      </c>
      <c r="P17" s="929">
        <f t="shared" ca="1" si="9"/>
        <v>46152</v>
      </c>
      <c r="R17" s="929">
        <f t="shared" ca="1" si="10"/>
        <v>46181</v>
      </c>
      <c r="S17" s="929">
        <f t="shared" ca="1" si="10"/>
        <v>46182</v>
      </c>
      <c r="T17" s="929">
        <f t="shared" ca="1" si="10"/>
        <v>46183</v>
      </c>
      <c r="U17" s="929">
        <f t="shared" ca="1" si="10"/>
        <v>46184</v>
      </c>
      <c r="V17" s="929">
        <f t="shared" ca="1" si="10"/>
        <v>46185</v>
      </c>
      <c r="W17" s="929">
        <f t="shared" ca="1" si="10"/>
        <v>46186</v>
      </c>
      <c r="X17" s="929">
        <f t="shared" ca="1" si="10"/>
        <v>46187</v>
      </c>
      <c r="AG17" s="930">
        <f t="shared" ca="1" si="11"/>
        <v>46118</v>
      </c>
      <c r="AH17" s="930">
        <f t="shared" ca="1" si="12"/>
        <v>46119</v>
      </c>
      <c r="AI17" s="930">
        <f t="shared" ca="1" si="13"/>
        <v>46120</v>
      </c>
      <c r="AJ17" s="930">
        <f t="shared" ca="1" si="14"/>
        <v>46121</v>
      </c>
      <c r="AK17" s="930">
        <f t="shared" ca="1" si="15"/>
        <v>46122</v>
      </c>
      <c r="AL17" s="930">
        <f t="shared" ca="1" si="16"/>
        <v>46123</v>
      </c>
      <c r="AM17" s="930">
        <f t="shared" ca="1" si="17"/>
        <v>46124</v>
      </c>
      <c r="AN17" s="930"/>
      <c r="AO17" s="930">
        <f t="shared" ca="1" si="18"/>
        <v>46146</v>
      </c>
      <c r="AP17" s="930">
        <f t="shared" ca="1" si="19"/>
        <v>46147</v>
      </c>
      <c r="AQ17" s="930">
        <f t="shared" ca="1" si="20"/>
        <v>46148</v>
      </c>
      <c r="AR17" s="930">
        <f t="shared" ca="1" si="21"/>
        <v>46149</v>
      </c>
      <c r="AS17" s="930">
        <f t="shared" ca="1" si="22"/>
        <v>46150</v>
      </c>
      <c r="AT17" s="930">
        <f t="shared" ca="1" si="23"/>
        <v>46151</v>
      </c>
      <c r="AU17" s="930">
        <f t="shared" ca="1" si="24"/>
        <v>46152</v>
      </c>
      <c r="AV17" s="930"/>
      <c r="AW17" s="930">
        <f t="shared" ca="1" si="25"/>
        <v>46181</v>
      </c>
      <c r="AX17" s="930">
        <f t="shared" ca="1" si="26"/>
        <v>46182</v>
      </c>
      <c r="AY17" s="930">
        <f t="shared" ca="1" si="27"/>
        <v>46183</v>
      </c>
      <c r="AZ17" s="930">
        <f t="shared" ca="1" si="28"/>
        <v>46184</v>
      </c>
      <c r="BA17" s="930">
        <f t="shared" ca="1" si="29"/>
        <v>46185</v>
      </c>
      <c r="BB17" s="930">
        <f t="shared" ca="1" si="30"/>
        <v>46186</v>
      </c>
      <c r="BC17" s="930">
        <f t="shared" ca="1" si="31"/>
        <v>46187</v>
      </c>
    </row>
    <row r="18" spans="2:55" x14ac:dyDescent="0.3">
      <c r="B18" s="929">
        <f t="shared" ca="1" si="8"/>
        <v>46125</v>
      </c>
      <c r="C18" s="929">
        <f t="shared" ca="1" si="8"/>
        <v>46126</v>
      </c>
      <c r="D18" s="929">
        <f t="shared" ca="1" si="8"/>
        <v>46127</v>
      </c>
      <c r="E18" s="929">
        <f t="shared" ca="1" si="8"/>
        <v>46128</v>
      </c>
      <c r="F18" s="929">
        <f t="shared" ca="1" si="8"/>
        <v>46129</v>
      </c>
      <c r="G18" s="929">
        <f t="shared" ca="1" si="8"/>
        <v>46130</v>
      </c>
      <c r="H18" s="929">
        <f t="shared" ca="1" si="8"/>
        <v>46131</v>
      </c>
      <c r="J18" s="929">
        <f t="shared" ca="1" si="9"/>
        <v>46153</v>
      </c>
      <c r="K18" s="929">
        <f t="shared" ca="1" si="9"/>
        <v>46154</v>
      </c>
      <c r="L18" s="929">
        <f t="shared" ca="1" si="9"/>
        <v>46155</v>
      </c>
      <c r="M18" s="929">
        <f t="shared" ca="1" si="9"/>
        <v>46156</v>
      </c>
      <c r="N18" s="929">
        <f t="shared" ca="1" si="9"/>
        <v>46157</v>
      </c>
      <c r="O18" s="929">
        <f t="shared" ca="1" si="9"/>
        <v>46158</v>
      </c>
      <c r="P18" s="929">
        <f t="shared" ca="1" si="9"/>
        <v>46159</v>
      </c>
      <c r="R18" s="929">
        <f t="shared" ca="1" si="10"/>
        <v>46188</v>
      </c>
      <c r="S18" s="929">
        <f t="shared" ca="1" si="10"/>
        <v>46189</v>
      </c>
      <c r="T18" s="929">
        <f t="shared" ca="1" si="10"/>
        <v>46190</v>
      </c>
      <c r="U18" s="929">
        <f t="shared" ca="1" si="10"/>
        <v>46191</v>
      </c>
      <c r="V18" s="929">
        <f t="shared" ca="1" si="10"/>
        <v>46192</v>
      </c>
      <c r="W18" s="929">
        <f t="shared" ca="1" si="10"/>
        <v>46193</v>
      </c>
      <c r="X18" s="929">
        <f t="shared" ca="1" si="10"/>
        <v>46194</v>
      </c>
      <c r="AG18" s="930">
        <f t="shared" ca="1" si="11"/>
        <v>46125</v>
      </c>
      <c r="AH18" s="930">
        <f t="shared" ca="1" si="12"/>
        <v>46126</v>
      </c>
      <c r="AI18" s="930">
        <f t="shared" ca="1" si="13"/>
        <v>46127</v>
      </c>
      <c r="AJ18" s="930">
        <f t="shared" ca="1" si="14"/>
        <v>46128</v>
      </c>
      <c r="AK18" s="930">
        <f t="shared" ca="1" si="15"/>
        <v>46129</v>
      </c>
      <c r="AL18" s="930">
        <f t="shared" ca="1" si="16"/>
        <v>46130</v>
      </c>
      <c r="AM18" s="930">
        <f t="shared" ca="1" si="17"/>
        <v>46131</v>
      </c>
      <c r="AN18" s="930"/>
      <c r="AO18" s="930">
        <f t="shared" ca="1" si="18"/>
        <v>46153</v>
      </c>
      <c r="AP18" s="930">
        <f t="shared" ca="1" si="19"/>
        <v>46154</v>
      </c>
      <c r="AQ18" s="930">
        <f t="shared" ca="1" si="20"/>
        <v>46155</v>
      </c>
      <c r="AR18" s="930">
        <f t="shared" ca="1" si="21"/>
        <v>46156</v>
      </c>
      <c r="AS18" s="930">
        <f t="shared" ca="1" si="22"/>
        <v>46157</v>
      </c>
      <c r="AT18" s="930">
        <f t="shared" ca="1" si="23"/>
        <v>46158</v>
      </c>
      <c r="AU18" s="930">
        <f t="shared" ca="1" si="24"/>
        <v>46159</v>
      </c>
      <c r="AV18" s="930"/>
      <c r="AW18" s="930">
        <f t="shared" ca="1" si="25"/>
        <v>46188</v>
      </c>
      <c r="AX18" s="930">
        <f t="shared" ca="1" si="26"/>
        <v>46189</v>
      </c>
      <c r="AY18" s="930">
        <f t="shared" ca="1" si="27"/>
        <v>46190</v>
      </c>
      <c r="AZ18" s="930">
        <f t="shared" ca="1" si="28"/>
        <v>46191</v>
      </c>
      <c r="BA18" s="930">
        <f t="shared" ca="1" si="29"/>
        <v>46192</v>
      </c>
      <c r="BB18" s="930">
        <f t="shared" ca="1" si="30"/>
        <v>46193</v>
      </c>
      <c r="BC18" s="930">
        <f t="shared" ca="1" si="31"/>
        <v>46194</v>
      </c>
    </row>
    <row r="19" spans="2:55" x14ac:dyDescent="0.3">
      <c r="B19" s="929">
        <f t="shared" ca="1" si="8"/>
        <v>46132</v>
      </c>
      <c r="C19" s="929">
        <f t="shared" ca="1" si="8"/>
        <v>46133</v>
      </c>
      <c r="D19" s="929">
        <f t="shared" ca="1" si="8"/>
        <v>46134</v>
      </c>
      <c r="E19" s="929">
        <f t="shared" ca="1" si="8"/>
        <v>46135</v>
      </c>
      <c r="F19" s="929">
        <f t="shared" ca="1" si="8"/>
        <v>46136</v>
      </c>
      <c r="G19" s="929">
        <f t="shared" ca="1" si="8"/>
        <v>46137</v>
      </c>
      <c r="H19" s="929">
        <f t="shared" ca="1" si="8"/>
        <v>46138</v>
      </c>
      <c r="J19" s="929">
        <f t="shared" ca="1" si="9"/>
        <v>46160</v>
      </c>
      <c r="K19" s="929">
        <f t="shared" ca="1" si="9"/>
        <v>46161</v>
      </c>
      <c r="L19" s="929">
        <f t="shared" ca="1" si="9"/>
        <v>46162</v>
      </c>
      <c r="M19" s="929">
        <f t="shared" ca="1" si="9"/>
        <v>46163</v>
      </c>
      <c r="N19" s="929">
        <f t="shared" ca="1" si="9"/>
        <v>46164</v>
      </c>
      <c r="O19" s="929">
        <f t="shared" ca="1" si="9"/>
        <v>46165</v>
      </c>
      <c r="P19" s="929">
        <f t="shared" ca="1" si="9"/>
        <v>46166</v>
      </c>
      <c r="R19" s="929">
        <f t="shared" ca="1" si="10"/>
        <v>46195</v>
      </c>
      <c r="S19" s="929">
        <f t="shared" ca="1" si="10"/>
        <v>46196</v>
      </c>
      <c r="T19" s="929">
        <f t="shared" ca="1" si="10"/>
        <v>46197</v>
      </c>
      <c r="U19" s="929">
        <f t="shared" ca="1" si="10"/>
        <v>46198</v>
      </c>
      <c r="V19" s="929">
        <f t="shared" ca="1" si="10"/>
        <v>46199</v>
      </c>
      <c r="W19" s="929">
        <f t="shared" ca="1" si="10"/>
        <v>46200</v>
      </c>
      <c r="X19" s="929">
        <f t="shared" ca="1" si="10"/>
        <v>46201</v>
      </c>
      <c r="AG19" s="930">
        <f t="shared" ca="1" si="11"/>
        <v>46132</v>
      </c>
      <c r="AH19" s="930">
        <f t="shared" ca="1" si="12"/>
        <v>46133</v>
      </c>
      <c r="AI19" s="930">
        <f t="shared" ca="1" si="13"/>
        <v>46134</v>
      </c>
      <c r="AJ19" s="930">
        <f t="shared" ca="1" si="14"/>
        <v>46135</v>
      </c>
      <c r="AK19" s="930">
        <f t="shared" ca="1" si="15"/>
        <v>46136</v>
      </c>
      <c r="AL19" s="930">
        <f t="shared" ca="1" si="16"/>
        <v>46137</v>
      </c>
      <c r="AM19" s="930">
        <f t="shared" ca="1" si="17"/>
        <v>46138</v>
      </c>
      <c r="AN19" s="930"/>
      <c r="AO19" s="930">
        <f t="shared" ca="1" si="18"/>
        <v>46160</v>
      </c>
      <c r="AP19" s="930">
        <f t="shared" ca="1" si="19"/>
        <v>46161</v>
      </c>
      <c r="AQ19" s="930">
        <f t="shared" ca="1" si="20"/>
        <v>46162</v>
      </c>
      <c r="AR19" s="930">
        <f t="shared" ca="1" si="21"/>
        <v>46163</v>
      </c>
      <c r="AS19" s="930">
        <f t="shared" ca="1" si="22"/>
        <v>46164</v>
      </c>
      <c r="AT19" s="930">
        <f t="shared" ca="1" si="23"/>
        <v>46165</v>
      </c>
      <c r="AU19" s="930">
        <f t="shared" ca="1" si="24"/>
        <v>46166</v>
      </c>
      <c r="AV19" s="930"/>
      <c r="AW19" s="930">
        <f t="shared" ca="1" si="25"/>
        <v>46195</v>
      </c>
      <c r="AX19" s="930">
        <f t="shared" ca="1" si="26"/>
        <v>46196</v>
      </c>
      <c r="AY19" s="930">
        <f t="shared" ca="1" si="27"/>
        <v>46197</v>
      </c>
      <c r="AZ19" s="930">
        <f t="shared" ca="1" si="28"/>
        <v>46198</v>
      </c>
      <c r="BA19" s="930">
        <f t="shared" ca="1" si="29"/>
        <v>46199</v>
      </c>
      <c r="BB19" s="930">
        <f t="shared" ca="1" si="30"/>
        <v>46200</v>
      </c>
      <c r="BC19" s="930">
        <f t="shared" ca="1" si="31"/>
        <v>46201</v>
      </c>
    </row>
    <row r="20" spans="2:55" x14ac:dyDescent="0.3">
      <c r="B20" s="929">
        <f t="shared" ca="1" si="8"/>
        <v>46139</v>
      </c>
      <c r="C20" s="929">
        <f t="shared" ca="1" si="8"/>
        <v>46140</v>
      </c>
      <c r="D20" s="929">
        <f t="shared" ca="1" si="8"/>
        <v>46141</v>
      </c>
      <c r="E20" s="929">
        <f t="shared" ca="1" si="8"/>
        <v>46142</v>
      </c>
      <c r="F20" s="929" t="str">
        <f t="shared" ca="1" si="8"/>
        <v/>
      </c>
      <c r="G20" s="929" t="str">
        <f t="shared" ca="1" si="8"/>
        <v/>
      </c>
      <c r="H20" s="929" t="str">
        <f t="shared" ca="1" si="8"/>
        <v/>
      </c>
      <c r="J20" s="929">
        <f t="shared" ca="1" si="9"/>
        <v>46167</v>
      </c>
      <c r="K20" s="929">
        <f t="shared" ca="1" si="9"/>
        <v>46168</v>
      </c>
      <c r="L20" s="929">
        <f t="shared" ca="1" si="9"/>
        <v>46169</v>
      </c>
      <c r="M20" s="929">
        <f t="shared" ca="1" si="9"/>
        <v>46170</v>
      </c>
      <c r="N20" s="929">
        <f t="shared" ca="1" si="9"/>
        <v>46171</v>
      </c>
      <c r="O20" s="929">
        <f t="shared" ca="1" si="9"/>
        <v>46172</v>
      </c>
      <c r="P20" s="929">
        <f t="shared" ca="1" si="9"/>
        <v>46173</v>
      </c>
      <c r="R20" s="929">
        <f t="shared" ca="1" si="10"/>
        <v>46202</v>
      </c>
      <c r="S20" s="929">
        <f t="shared" ca="1" si="10"/>
        <v>46203</v>
      </c>
      <c r="T20" s="929" t="str">
        <f t="shared" ca="1" si="10"/>
        <v/>
      </c>
      <c r="U20" s="929" t="str">
        <f t="shared" ca="1" si="10"/>
        <v/>
      </c>
      <c r="V20" s="929" t="str">
        <f t="shared" ca="1" si="10"/>
        <v/>
      </c>
      <c r="W20" s="929" t="str">
        <f t="shared" ca="1" si="10"/>
        <v/>
      </c>
      <c r="X20" s="929" t="str">
        <f t="shared" ca="1" si="10"/>
        <v/>
      </c>
      <c r="AG20" s="930">
        <f t="shared" ca="1" si="11"/>
        <v>46139</v>
      </c>
      <c r="AH20" s="930">
        <f t="shared" ca="1" si="12"/>
        <v>46140</v>
      </c>
      <c r="AI20" s="930">
        <f t="shared" ca="1" si="13"/>
        <v>46141</v>
      </c>
      <c r="AJ20" s="930">
        <f t="shared" ca="1" si="14"/>
        <v>46142</v>
      </c>
      <c r="AK20" s="930" t="str">
        <f t="shared" ca="1" si="15"/>
        <v/>
      </c>
      <c r="AL20" s="930" t="str">
        <f t="shared" ca="1" si="16"/>
        <v/>
      </c>
      <c r="AM20" s="930" t="str">
        <f t="shared" ca="1" si="17"/>
        <v/>
      </c>
      <c r="AN20" s="930"/>
      <c r="AO20" s="930">
        <f t="shared" ca="1" si="18"/>
        <v>46167</v>
      </c>
      <c r="AP20" s="930">
        <f t="shared" ca="1" si="19"/>
        <v>46168</v>
      </c>
      <c r="AQ20" s="930">
        <f t="shared" ca="1" si="20"/>
        <v>46169</v>
      </c>
      <c r="AR20" s="930">
        <f t="shared" ca="1" si="21"/>
        <v>46170</v>
      </c>
      <c r="AS20" s="930">
        <f t="shared" ca="1" si="22"/>
        <v>46171</v>
      </c>
      <c r="AT20" s="930">
        <f t="shared" ca="1" si="23"/>
        <v>46172</v>
      </c>
      <c r="AU20" s="930">
        <f t="shared" ca="1" si="24"/>
        <v>46173</v>
      </c>
      <c r="AV20" s="930"/>
      <c r="AW20" s="930">
        <f t="shared" ca="1" si="25"/>
        <v>46202</v>
      </c>
      <c r="AX20" s="930">
        <f t="shared" ca="1" si="26"/>
        <v>46203</v>
      </c>
      <c r="AY20" s="930" t="str">
        <f t="shared" ca="1" si="27"/>
        <v/>
      </c>
      <c r="AZ20" s="930" t="str">
        <f t="shared" ca="1" si="28"/>
        <v/>
      </c>
      <c r="BA20" s="930" t="str">
        <f t="shared" ca="1" si="29"/>
        <v/>
      </c>
      <c r="BB20" s="930" t="str">
        <f t="shared" ca="1" si="30"/>
        <v/>
      </c>
      <c r="BC20" s="930" t="str">
        <f t="shared" ca="1" si="31"/>
        <v/>
      </c>
    </row>
    <row r="21" spans="2:55" x14ac:dyDescent="0.3">
      <c r="B21" s="929" t="str">
        <f t="shared" ca="1" si="8"/>
        <v/>
      </c>
      <c r="C21" s="929" t="str">
        <f t="shared" ca="1" si="8"/>
        <v/>
      </c>
      <c r="D21" s="929" t="str">
        <f t="shared" ca="1" si="8"/>
        <v/>
      </c>
      <c r="E21" s="929" t="str">
        <f t="shared" ca="1" si="8"/>
        <v/>
      </c>
      <c r="F21" s="929" t="str">
        <f t="shared" ca="1" si="8"/>
        <v/>
      </c>
      <c r="G21" s="929" t="str">
        <f t="shared" ca="1" si="8"/>
        <v/>
      </c>
      <c r="H21" s="929" t="str">
        <f t="shared" ca="1" si="8"/>
        <v/>
      </c>
      <c r="J21" s="929" t="str">
        <f t="shared" ca="1" si="9"/>
        <v/>
      </c>
      <c r="K21" s="929" t="str">
        <f t="shared" ca="1" si="9"/>
        <v/>
      </c>
      <c r="L21" s="929" t="str">
        <f t="shared" ca="1" si="9"/>
        <v/>
      </c>
      <c r="M21" s="929" t="str">
        <f t="shared" ca="1" si="9"/>
        <v/>
      </c>
      <c r="N21" s="929" t="str">
        <f t="shared" ca="1" si="9"/>
        <v/>
      </c>
      <c r="O21" s="929" t="str">
        <f t="shared" ca="1" si="9"/>
        <v/>
      </c>
      <c r="P21" s="929" t="str">
        <f t="shared" ca="1" si="9"/>
        <v/>
      </c>
      <c r="R21" s="929" t="str">
        <f t="shared" ca="1" si="10"/>
        <v/>
      </c>
      <c r="S21" s="929" t="str">
        <f t="shared" ca="1" si="10"/>
        <v/>
      </c>
      <c r="T21" s="929" t="str">
        <f t="shared" ca="1" si="10"/>
        <v/>
      </c>
      <c r="U21" s="929" t="str">
        <f t="shared" ca="1" si="10"/>
        <v/>
      </c>
      <c r="V21" s="929" t="str">
        <f t="shared" ca="1" si="10"/>
        <v/>
      </c>
      <c r="W21" s="929" t="str">
        <f t="shared" ca="1" si="10"/>
        <v/>
      </c>
      <c r="X21" s="929" t="str">
        <f t="shared" ca="1" si="10"/>
        <v/>
      </c>
      <c r="AG21" s="930" t="str">
        <f t="shared" ca="1" si="11"/>
        <v/>
      </c>
      <c r="AH21" s="930" t="str">
        <f t="shared" ca="1" si="12"/>
        <v/>
      </c>
      <c r="AI21" s="930" t="str">
        <f t="shared" ca="1" si="13"/>
        <v/>
      </c>
      <c r="AJ21" s="930" t="str">
        <f t="shared" ca="1" si="14"/>
        <v/>
      </c>
      <c r="AK21" s="930" t="str">
        <f t="shared" ca="1" si="15"/>
        <v/>
      </c>
      <c r="AL21" s="930" t="str">
        <f t="shared" ca="1" si="16"/>
        <v/>
      </c>
      <c r="AM21" s="930" t="str">
        <f t="shared" ca="1" si="17"/>
        <v/>
      </c>
      <c r="AN21" s="930"/>
      <c r="AO21" s="930" t="str">
        <f t="shared" ca="1" si="18"/>
        <v/>
      </c>
      <c r="AP21" s="930" t="str">
        <f t="shared" ca="1" si="19"/>
        <v/>
      </c>
      <c r="AQ21" s="930" t="str">
        <f t="shared" ca="1" si="20"/>
        <v/>
      </c>
      <c r="AR21" s="930" t="str">
        <f t="shared" ca="1" si="21"/>
        <v/>
      </c>
      <c r="AS21" s="930" t="str">
        <f t="shared" ca="1" si="22"/>
        <v/>
      </c>
      <c r="AT21" s="930" t="str">
        <f t="shared" ca="1" si="23"/>
        <v/>
      </c>
      <c r="AU21" s="930" t="str">
        <f t="shared" ca="1" si="24"/>
        <v/>
      </c>
      <c r="AV21" s="930"/>
      <c r="AW21" s="930" t="str">
        <f t="shared" ca="1" si="25"/>
        <v/>
      </c>
      <c r="AX21" s="930" t="str">
        <f t="shared" ca="1" si="26"/>
        <v/>
      </c>
      <c r="AY21" s="930" t="str">
        <f t="shared" ca="1" si="27"/>
        <v/>
      </c>
      <c r="AZ21" s="930" t="str">
        <f t="shared" ca="1" si="28"/>
        <v/>
      </c>
      <c r="BA21" s="930" t="str">
        <f t="shared" ca="1" si="29"/>
        <v/>
      </c>
      <c r="BB21" s="930" t="str">
        <f t="shared" ca="1" si="30"/>
        <v/>
      </c>
      <c r="BC21" s="930" t="str">
        <f t="shared" ca="1" si="31"/>
        <v/>
      </c>
    </row>
    <row r="22" spans="2:55" ht="8.1" customHeight="1" x14ac:dyDescent="0.3"/>
    <row r="23" spans="2:55" ht="15.6" x14ac:dyDescent="0.3">
      <c r="B23" s="1119">
        <f ca="1">DATE(YEAR(R14+35),MONTH(R14+35),1)</f>
        <v>46204</v>
      </c>
      <c r="C23" s="1120"/>
      <c r="D23" s="1120"/>
      <c r="E23" s="1120"/>
      <c r="F23" s="1120"/>
      <c r="G23" s="1120"/>
      <c r="H23" s="1121"/>
      <c r="J23" s="1119">
        <f ca="1">DATE(YEAR(B23+35),MONTH(B23+35),1)</f>
        <v>46235</v>
      </c>
      <c r="K23" s="1120"/>
      <c r="L23" s="1120"/>
      <c r="M23" s="1120"/>
      <c r="N23" s="1120"/>
      <c r="O23" s="1120"/>
      <c r="P23" s="1121"/>
      <c r="R23" s="1119">
        <f ca="1">DATE(YEAR(J23+35),MONTH(J23+35),1)</f>
        <v>46266</v>
      </c>
      <c r="S23" s="1120"/>
      <c r="T23" s="1120"/>
      <c r="U23" s="1120"/>
      <c r="V23" s="1120"/>
      <c r="W23" s="1120"/>
      <c r="X23" s="1121"/>
      <c r="AG23" s="1114"/>
      <c r="AH23" s="1115"/>
      <c r="AI23" s="1115"/>
      <c r="AJ23" s="1115"/>
      <c r="AK23" s="1115"/>
      <c r="AL23" s="1115"/>
      <c r="AM23" s="1116"/>
      <c r="AO23" s="1114"/>
      <c r="AP23" s="1115"/>
      <c r="AQ23" s="1115"/>
      <c r="AR23" s="1115"/>
      <c r="AS23" s="1115"/>
      <c r="AT23" s="1115"/>
      <c r="AU23" s="1116"/>
      <c r="AW23" s="1114"/>
      <c r="AX23" s="1115"/>
      <c r="AY23" s="1115"/>
      <c r="AZ23" s="1115"/>
      <c r="BA23" s="1115"/>
      <c r="BB23" s="1115"/>
      <c r="BC23" s="1116"/>
    </row>
    <row r="24" spans="2:55" x14ac:dyDescent="0.3">
      <c r="B24" s="921" t="str">
        <f ca="1">$B$6</f>
        <v>Lu</v>
      </c>
      <c r="C24" s="922" t="str">
        <f ca="1">$C$6</f>
        <v>Ma</v>
      </c>
      <c r="D24" s="922" t="str">
        <f ca="1">$D$6</f>
        <v>Me</v>
      </c>
      <c r="E24" s="922" t="str">
        <f ca="1">$E$6</f>
        <v>Je</v>
      </c>
      <c r="F24" s="922" t="str">
        <f ca="1">$F$6</f>
        <v>Ve</v>
      </c>
      <c r="G24" s="922" t="str">
        <f ca="1">$G$6</f>
        <v>Sa</v>
      </c>
      <c r="H24" s="923" t="str">
        <f ca="1">$H$6</f>
        <v>Di</v>
      </c>
      <c r="J24" s="921" t="str">
        <f ca="1">$B$6</f>
        <v>Lu</v>
      </c>
      <c r="K24" s="922" t="str">
        <f ca="1">$C$6</f>
        <v>Ma</v>
      </c>
      <c r="L24" s="922" t="str">
        <f ca="1">$D$6</f>
        <v>Me</v>
      </c>
      <c r="M24" s="922" t="str">
        <f ca="1">$E$6</f>
        <v>Je</v>
      </c>
      <c r="N24" s="922" t="str">
        <f ca="1">$F$6</f>
        <v>Ve</v>
      </c>
      <c r="O24" s="922" t="str">
        <f ca="1">$G$6</f>
        <v>Sa</v>
      </c>
      <c r="P24" s="923" t="str">
        <f ca="1">$H$6</f>
        <v>Di</v>
      </c>
      <c r="R24" s="921" t="str">
        <f ca="1">$B$6</f>
        <v>Lu</v>
      </c>
      <c r="S24" s="922" t="str">
        <f ca="1">$C$6</f>
        <v>Ma</v>
      </c>
      <c r="T24" s="922" t="str">
        <f ca="1">$D$6</f>
        <v>Me</v>
      </c>
      <c r="U24" s="922" t="str">
        <f ca="1">$E$6</f>
        <v>Je</v>
      </c>
      <c r="V24" s="922" t="str">
        <f ca="1">$F$6</f>
        <v>Ve</v>
      </c>
      <c r="W24" s="922" t="str">
        <f ca="1">$G$6</f>
        <v>Sa</v>
      </c>
      <c r="X24" s="923" t="str">
        <f ca="1">$H$6</f>
        <v>Di</v>
      </c>
      <c r="AG24" s="926"/>
      <c r="AH24" s="927"/>
      <c r="AI24" s="927"/>
      <c r="AJ24" s="927"/>
      <c r="AK24" s="927"/>
      <c r="AL24" s="927"/>
      <c r="AM24" s="928"/>
      <c r="AO24" s="926"/>
      <c r="AP24" s="927"/>
      <c r="AQ24" s="927"/>
      <c r="AR24" s="927"/>
      <c r="AS24" s="927"/>
      <c r="AT24" s="927"/>
      <c r="AU24" s="928"/>
      <c r="AW24" s="926"/>
      <c r="AX24" s="927"/>
      <c r="AY24" s="927"/>
      <c r="AZ24" s="927"/>
      <c r="BA24" s="927"/>
      <c r="BB24" s="927"/>
      <c r="BC24" s="928"/>
    </row>
    <row r="25" spans="2:55" x14ac:dyDescent="0.3">
      <c r="B25" s="929" t="str">
        <f t="shared" ref="B25:H30" ca="1" si="32">IF(MONTH($B$23)&lt;&gt;MONTH($B$23-(WEEKDAY($B$23,1)-($AA$6-1))-IF((WEEKDAY($B$23,1)-($AA$6-1))&lt;=0,7,0)+(ROW(B25)-ROW($B$25))*7+(COLUMN(B25)-COLUMN($B$25)+1)),"",$B$23-(WEEKDAY($B$23,1)-($AA$6-1))-IF((WEEKDAY($B$23,1)-($AA$6-1))&lt;=0,7,0)+(ROW(B25)-ROW($B$25))*7+(COLUMN(B25)-COLUMN($B$25)+1))</f>
        <v/>
      </c>
      <c r="C25" s="929" t="str">
        <f t="shared" ca="1" si="32"/>
        <v/>
      </c>
      <c r="D25" s="929">
        <f t="shared" ca="1" si="32"/>
        <v>46204</v>
      </c>
      <c r="E25" s="929">
        <f t="shared" ca="1" si="32"/>
        <v>46205</v>
      </c>
      <c r="F25" s="929">
        <f t="shared" ca="1" si="32"/>
        <v>46206</v>
      </c>
      <c r="G25" s="929">
        <f t="shared" ca="1" si="32"/>
        <v>46207</v>
      </c>
      <c r="H25" s="929">
        <f t="shared" ca="1" si="32"/>
        <v>46208</v>
      </c>
      <c r="J25" s="929" t="str">
        <f t="shared" ref="J25:P30" ca="1" si="33">IF(MONTH($J$23)&lt;&gt;MONTH($J$23-(WEEKDAY($J$23,1)-($AA$6-1))-IF((WEEKDAY($J$23,1)-($AA$6-1))&lt;=0,7,0)+(ROW(J25)-ROW($J$25))*7+(COLUMN(J25)-COLUMN($J$25)+1)),"",$J$23-(WEEKDAY($J$23,1)-($AA$6-1))-IF((WEEKDAY($J$23,1)-($AA$6-1))&lt;=0,7,0)+(ROW(J25)-ROW($J$25))*7+(COLUMN(J25)-COLUMN($J$25)+1))</f>
        <v/>
      </c>
      <c r="K25" s="929" t="str">
        <f t="shared" ca="1" si="33"/>
        <v/>
      </c>
      <c r="L25" s="929" t="str">
        <f t="shared" ca="1" si="33"/>
        <v/>
      </c>
      <c r="M25" s="929" t="str">
        <f t="shared" ca="1" si="33"/>
        <v/>
      </c>
      <c r="N25" s="929" t="str">
        <f t="shared" ca="1" si="33"/>
        <v/>
      </c>
      <c r="O25" s="929">
        <f t="shared" ca="1" si="33"/>
        <v>46235</v>
      </c>
      <c r="P25" s="929">
        <f t="shared" ca="1" si="33"/>
        <v>46236</v>
      </c>
      <c r="R25" s="929" t="str">
        <f t="shared" ref="R25:X30" ca="1" si="34">IF(MONTH($R$23)&lt;&gt;MONTH($R$23-(WEEKDAY($R$23,1)-($AA$6-1))-IF((WEEKDAY($R$23,1)-($AA$6-1))&lt;=0,7,0)+(ROW(R25)-ROW($R$25))*7+(COLUMN(R25)-COLUMN($R$25)+1)),"",$R$23-(WEEKDAY($R$23,1)-($AA$6-1))-IF((WEEKDAY($R$23,1)-($AA$6-1))&lt;=0,7,0)+(ROW(R25)-ROW($R$25))*7+(COLUMN(R25)-COLUMN($R$25)+1))</f>
        <v/>
      </c>
      <c r="S25" s="929">
        <f t="shared" ca="1" si="34"/>
        <v>46266</v>
      </c>
      <c r="T25" s="929">
        <f t="shared" ca="1" si="34"/>
        <v>46267</v>
      </c>
      <c r="U25" s="929">
        <f t="shared" ca="1" si="34"/>
        <v>46268</v>
      </c>
      <c r="V25" s="929">
        <f t="shared" ca="1" si="34"/>
        <v>46269</v>
      </c>
      <c r="W25" s="929">
        <f t="shared" ca="1" si="34"/>
        <v>46270</v>
      </c>
      <c r="X25" s="929">
        <f t="shared" ca="1" si="34"/>
        <v>46271</v>
      </c>
      <c r="AG25" s="930" t="str">
        <f t="shared" ref="AG25:AG30" ca="1" si="35">B25</f>
        <v/>
      </c>
      <c r="AH25" s="930" t="str">
        <f t="shared" ref="AH25:AH30" ca="1" si="36">C25</f>
        <v/>
      </c>
      <c r="AI25" s="930">
        <f t="shared" ref="AI25:AI30" ca="1" si="37">D25</f>
        <v>46204</v>
      </c>
      <c r="AJ25" s="930">
        <f t="shared" ref="AJ25:AJ30" ca="1" si="38">E25</f>
        <v>46205</v>
      </c>
      <c r="AK25" s="930">
        <f t="shared" ref="AK25:AK30" ca="1" si="39">F25</f>
        <v>46206</v>
      </c>
      <c r="AL25" s="930">
        <f t="shared" ref="AL25:AL30" ca="1" si="40">G25</f>
        <v>46207</v>
      </c>
      <c r="AM25" s="930">
        <f t="shared" ref="AM25:AM30" ca="1" si="41">H25</f>
        <v>46208</v>
      </c>
      <c r="AN25" s="930"/>
      <c r="AO25" s="930" t="str">
        <f t="shared" ref="AO25:AO30" ca="1" si="42">J25</f>
        <v/>
      </c>
      <c r="AP25" s="930" t="str">
        <f t="shared" ref="AP25:AP30" ca="1" si="43">K25</f>
        <v/>
      </c>
      <c r="AQ25" s="930" t="str">
        <f t="shared" ref="AQ25:AQ30" ca="1" si="44">L25</f>
        <v/>
      </c>
      <c r="AR25" s="930" t="str">
        <f t="shared" ref="AR25:AR30" ca="1" si="45">M25</f>
        <v/>
      </c>
      <c r="AS25" s="930" t="str">
        <f t="shared" ref="AS25:AS30" ca="1" si="46">N25</f>
        <v/>
      </c>
      <c r="AT25" s="930">
        <f t="shared" ref="AT25:AT30" ca="1" si="47">O25</f>
        <v>46235</v>
      </c>
      <c r="AU25" s="930">
        <f t="shared" ref="AU25:AU30" ca="1" si="48">P25</f>
        <v>46236</v>
      </c>
      <c r="AV25" s="930"/>
      <c r="AW25" s="930" t="str">
        <f t="shared" ref="AW25:AW30" ca="1" si="49">R25</f>
        <v/>
      </c>
      <c r="AX25" s="930">
        <f t="shared" ref="AX25:AX30" ca="1" si="50">S25</f>
        <v>46266</v>
      </c>
      <c r="AY25" s="930">
        <f t="shared" ref="AY25:AY30" ca="1" si="51">T25</f>
        <v>46267</v>
      </c>
      <c r="AZ25" s="930">
        <f t="shared" ref="AZ25:AZ30" ca="1" si="52">U25</f>
        <v>46268</v>
      </c>
      <c r="BA25" s="930">
        <f t="shared" ref="BA25:BA30" ca="1" si="53">V25</f>
        <v>46269</v>
      </c>
      <c r="BB25" s="930">
        <f t="shared" ref="BB25:BB30" ca="1" si="54">W25</f>
        <v>46270</v>
      </c>
      <c r="BC25" s="930">
        <f t="shared" ref="BC25:BC30" ca="1" si="55">X25</f>
        <v>46271</v>
      </c>
    </row>
    <row r="26" spans="2:55" x14ac:dyDescent="0.3">
      <c r="B26" s="929">
        <f t="shared" ca="1" si="32"/>
        <v>46209</v>
      </c>
      <c r="C26" s="929">
        <f t="shared" ca="1" si="32"/>
        <v>46210</v>
      </c>
      <c r="D26" s="929">
        <f t="shared" ca="1" si="32"/>
        <v>46211</v>
      </c>
      <c r="E26" s="929">
        <f t="shared" ca="1" si="32"/>
        <v>46212</v>
      </c>
      <c r="F26" s="929">
        <f t="shared" ca="1" si="32"/>
        <v>46213</v>
      </c>
      <c r="G26" s="929">
        <f t="shared" ca="1" si="32"/>
        <v>46214</v>
      </c>
      <c r="H26" s="929">
        <f t="shared" ca="1" si="32"/>
        <v>46215</v>
      </c>
      <c r="J26" s="929">
        <f t="shared" ca="1" si="33"/>
        <v>46237</v>
      </c>
      <c r="K26" s="929">
        <f t="shared" ca="1" si="33"/>
        <v>46238</v>
      </c>
      <c r="L26" s="929">
        <f t="shared" ca="1" si="33"/>
        <v>46239</v>
      </c>
      <c r="M26" s="929">
        <f t="shared" ca="1" si="33"/>
        <v>46240</v>
      </c>
      <c r="N26" s="929">
        <f t="shared" ca="1" si="33"/>
        <v>46241</v>
      </c>
      <c r="O26" s="929">
        <f t="shared" ca="1" si="33"/>
        <v>46242</v>
      </c>
      <c r="P26" s="929">
        <f t="shared" ca="1" si="33"/>
        <v>46243</v>
      </c>
      <c r="R26" s="929">
        <f t="shared" ca="1" si="34"/>
        <v>46272</v>
      </c>
      <c r="S26" s="929">
        <f t="shared" ca="1" si="34"/>
        <v>46273</v>
      </c>
      <c r="T26" s="929">
        <f t="shared" ca="1" si="34"/>
        <v>46274</v>
      </c>
      <c r="U26" s="929">
        <f t="shared" ca="1" si="34"/>
        <v>46275</v>
      </c>
      <c r="V26" s="929">
        <f t="shared" ca="1" si="34"/>
        <v>46276</v>
      </c>
      <c r="W26" s="929">
        <f t="shared" ca="1" si="34"/>
        <v>46277</v>
      </c>
      <c r="X26" s="929">
        <f t="shared" ca="1" si="34"/>
        <v>46278</v>
      </c>
      <c r="AG26" s="930">
        <f t="shared" ca="1" si="35"/>
        <v>46209</v>
      </c>
      <c r="AH26" s="930">
        <f t="shared" ca="1" si="36"/>
        <v>46210</v>
      </c>
      <c r="AI26" s="930">
        <f t="shared" ca="1" si="37"/>
        <v>46211</v>
      </c>
      <c r="AJ26" s="930">
        <f t="shared" ca="1" si="38"/>
        <v>46212</v>
      </c>
      <c r="AK26" s="930">
        <f t="shared" ca="1" si="39"/>
        <v>46213</v>
      </c>
      <c r="AL26" s="930">
        <f t="shared" ca="1" si="40"/>
        <v>46214</v>
      </c>
      <c r="AM26" s="930">
        <f t="shared" ca="1" si="41"/>
        <v>46215</v>
      </c>
      <c r="AN26" s="930"/>
      <c r="AO26" s="930">
        <f t="shared" ca="1" si="42"/>
        <v>46237</v>
      </c>
      <c r="AP26" s="930">
        <f t="shared" ca="1" si="43"/>
        <v>46238</v>
      </c>
      <c r="AQ26" s="930">
        <f t="shared" ca="1" si="44"/>
        <v>46239</v>
      </c>
      <c r="AR26" s="930">
        <f t="shared" ca="1" si="45"/>
        <v>46240</v>
      </c>
      <c r="AS26" s="930">
        <f t="shared" ca="1" si="46"/>
        <v>46241</v>
      </c>
      <c r="AT26" s="930">
        <f t="shared" ca="1" si="47"/>
        <v>46242</v>
      </c>
      <c r="AU26" s="930">
        <f t="shared" ca="1" si="48"/>
        <v>46243</v>
      </c>
      <c r="AV26" s="930"/>
      <c r="AW26" s="930">
        <f t="shared" ca="1" si="49"/>
        <v>46272</v>
      </c>
      <c r="AX26" s="930">
        <f t="shared" ca="1" si="50"/>
        <v>46273</v>
      </c>
      <c r="AY26" s="930">
        <f t="shared" ca="1" si="51"/>
        <v>46274</v>
      </c>
      <c r="AZ26" s="930">
        <f t="shared" ca="1" si="52"/>
        <v>46275</v>
      </c>
      <c r="BA26" s="930">
        <f t="shared" ca="1" si="53"/>
        <v>46276</v>
      </c>
      <c r="BB26" s="930">
        <f t="shared" ca="1" si="54"/>
        <v>46277</v>
      </c>
      <c r="BC26" s="930">
        <f t="shared" ca="1" si="55"/>
        <v>46278</v>
      </c>
    </row>
    <row r="27" spans="2:55" x14ac:dyDescent="0.3">
      <c r="B27" s="929">
        <f t="shared" ca="1" si="32"/>
        <v>46216</v>
      </c>
      <c r="C27" s="929">
        <f t="shared" ca="1" si="32"/>
        <v>46217</v>
      </c>
      <c r="D27" s="929">
        <f t="shared" ca="1" si="32"/>
        <v>46218</v>
      </c>
      <c r="E27" s="929">
        <f t="shared" ca="1" si="32"/>
        <v>46219</v>
      </c>
      <c r="F27" s="929">
        <f t="shared" ca="1" si="32"/>
        <v>46220</v>
      </c>
      <c r="G27" s="929">
        <f t="shared" ca="1" si="32"/>
        <v>46221</v>
      </c>
      <c r="H27" s="929">
        <f t="shared" ca="1" si="32"/>
        <v>46222</v>
      </c>
      <c r="J27" s="929">
        <f t="shared" ca="1" si="33"/>
        <v>46244</v>
      </c>
      <c r="K27" s="929">
        <f t="shared" ca="1" si="33"/>
        <v>46245</v>
      </c>
      <c r="L27" s="929">
        <f t="shared" ca="1" si="33"/>
        <v>46246</v>
      </c>
      <c r="M27" s="929">
        <f t="shared" ca="1" si="33"/>
        <v>46247</v>
      </c>
      <c r="N27" s="929">
        <f t="shared" ca="1" si="33"/>
        <v>46248</v>
      </c>
      <c r="O27" s="929">
        <f t="shared" ca="1" si="33"/>
        <v>46249</v>
      </c>
      <c r="P27" s="929">
        <f t="shared" ca="1" si="33"/>
        <v>46250</v>
      </c>
      <c r="R27" s="929">
        <f t="shared" ca="1" si="34"/>
        <v>46279</v>
      </c>
      <c r="S27" s="929">
        <f t="shared" ca="1" si="34"/>
        <v>46280</v>
      </c>
      <c r="T27" s="929">
        <f t="shared" ca="1" si="34"/>
        <v>46281</v>
      </c>
      <c r="U27" s="929">
        <f t="shared" ca="1" si="34"/>
        <v>46282</v>
      </c>
      <c r="V27" s="929">
        <f t="shared" ca="1" si="34"/>
        <v>46283</v>
      </c>
      <c r="W27" s="929">
        <f t="shared" ca="1" si="34"/>
        <v>46284</v>
      </c>
      <c r="X27" s="929">
        <f t="shared" ca="1" si="34"/>
        <v>46285</v>
      </c>
      <c r="AG27" s="930">
        <f t="shared" ca="1" si="35"/>
        <v>46216</v>
      </c>
      <c r="AH27" s="930">
        <f t="shared" ca="1" si="36"/>
        <v>46217</v>
      </c>
      <c r="AI27" s="930">
        <f t="shared" ca="1" si="37"/>
        <v>46218</v>
      </c>
      <c r="AJ27" s="930">
        <f t="shared" ca="1" si="38"/>
        <v>46219</v>
      </c>
      <c r="AK27" s="930">
        <f t="shared" ca="1" si="39"/>
        <v>46220</v>
      </c>
      <c r="AL27" s="930">
        <f t="shared" ca="1" si="40"/>
        <v>46221</v>
      </c>
      <c r="AM27" s="930">
        <f t="shared" ca="1" si="41"/>
        <v>46222</v>
      </c>
      <c r="AN27" s="930"/>
      <c r="AO27" s="930">
        <f t="shared" ca="1" si="42"/>
        <v>46244</v>
      </c>
      <c r="AP27" s="930">
        <f t="shared" ca="1" si="43"/>
        <v>46245</v>
      </c>
      <c r="AQ27" s="930">
        <f t="shared" ca="1" si="44"/>
        <v>46246</v>
      </c>
      <c r="AR27" s="930">
        <f t="shared" ca="1" si="45"/>
        <v>46247</v>
      </c>
      <c r="AS27" s="930">
        <f t="shared" ca="1" si="46"/>
        <v>46248</v>
      </c>
      <c r="AT27" s="930">
        <f t="shared" ca="1" si="47"/>
        <v>46249</v>
      </c>
      <c r="AU27" s="930">
        <f t="shared" ca="1" si="48"/>
        <v>46250</v>
      </c>
      <c r="AV27" s="930"/>
      <c r="AW27" s="930">
        <f t="shared" ca="1" si="49"/>
        <v>46279</v>
      </c>
      <c r="AX27" s="930">
        <f t="shared" ca="1" si="50"/>
        <v>46280</v>
      </c>
      <c r="AY27" s="930">
        <f t="shared" ca="1" si="51"/>
        <v>46281</v>
      </c>
      <c r="AZ27" s="930">
        <f t="shared" ca="1" si="52"/>
        <v>46282</v>
      </c>
      <c r="BA27" s="930">
        <f t="shared" ca="1" si="53"/>
        <v>46283</v>
      </c>
      <c r="BB27" s="930">
        <f t="shared" ca="1" si="54"/>
        <v>46284</v>
      </c>
      <c r="BC27" s="930">
        <f t="shared" ca="1" si="55"/>
        <v>46285</v>
      </c>
    </row>
    <row r="28" spans="2:55" x14ac:dyDescent="0.3">
      <c r="B28" s="929">
        <f t="shared" ca="1" si="32"/>
        <v>46223</v>
      </c>
      <c r="C28" s="929">
        <f t="shared" ca="1" si="32"/>
        <v>46224</v>
      </c>
      <c r="D28" s="929">
        <f t="shared" ca="1" si="32"/>
        <v>46225</v>
      </c>
      <c r="E28" s="929">
        <f t="shared" ca="1" si="32"/>
        <v>46226</v>
      </c>
      <c r="F28" s="929">
        <f t="shared" ca="1" si="32"/>
        <v>46227</v>
      </c>
      <c r="G28" s="929">
        <f t="shared" ca="1" si="32"/>
        <v>46228</v>
      </c>
      <c r="H28" s="929">
        <f t="shared" ca="1" si="32"/>
        <v>46229</v>
      </c>
      <c r="J28" s="929">
        <f t="shared" ca="1" si="33"/>
        <v>46251</v>
      </c>
      <c r="K28" s="929">
        <f t="shared" ca="1" si="33"/>
        <v>46252</v>
      </c>
      <c r="L28" s="929">
        <f t="shared" ca="1" si="33"/>
        <v>46253</v>
      </c>
      <c r="M28" s="929">
        <f t="shared" ca="1" si="33"/>
        <v>46254</v>
      </c>
      <c r="N28" s="929">
        <f t="shared" ca="1" si="33"/>
        <v>46255</v>
      </c>
      <c r="O28" s="929">
        <f t="shared" ca="1" si="33"/>
        <v>46256</v>
      </c>
      <c r="P28" s="929">
        <f t="shared" ca="1" si="33"/>
        <v>46257</v>
      </c>
      <c r="R28" s="929">
        <f t="shared" ca="1" si="34"/>
        <v>46286</v>
      </c>
      <c r="S28" s="929">
        <f t="shared" ca="1" si="34"/>
        <v>46287</v>
      </c>
      <c r="T28" s="929">
        <f t="shared" ca="1" si="34"/>
        <v>46288</v>
      </c>
      <c r="U28" s="929">
        <f t="shared" ca="1" si="34"/>
        <v>46289</v>
      </c>
      <c r="V28" s="929">
        <f t="shared" ca="1" si="34"/>
        <v>46290</v>
      </c>
      <c r="W28" s="929">
        <f t="shared" ca="1" si="34"/>
        <v>46291</v>
      </c>
      <c r="X28" s="929">
        <f t="shared" ca="1" si="34"/>
        <v>46292</v>
      </c>
      <c r="AG28" s="930">
        <f t="shared" ca="1" si="35"/>
        <v>46223</v>
      </c>
      <c r="AH28" s="930">
        <f t="shared" ca="1" si="36"/>
        <v>46224</v>
      </c>
      <c r="AI28" s="930">
        <f t="shared" ca="1" si="37"/>
        <v>46225</v>
      </c>
      <c r="AJ28" s="930">
        <f t="shared" ca="1" si="38"/>
        <v>46226</v>
      </c>
      <c r="AK28" s="930">
        <f t="shared" ca="1" si="39"/>
        <v>46227</v>
      </c>
      <c r="AL28" s="930">
        <f t="shared" ca="1" si="40"/>
        <v>46228</v>
      </c>
      <c r="AM28" s="930">
        <f t="shared" ca="1" si="41"/>
        <v>46229</v>
      </c>
      <c r="AN28" s="930"/>
      <c r="AO28" s="930">
        <f t="shared" ca="1" si="42"/>
        <v>46251</v>
      </c>
      <c r="AP28" s="930">
        <f t="shared" ca="1" si="43"/>
        <v>46252</v>
      </c>
      <c r="AQ28" s="930">
        <f t="shared" ca="1" si="44"/>
        <v>46253</v>
      </c>
      <c r="AR28" s="930">
        <f t="shared" ca="1" si="45"/>
        <v>46254</v>
      </c>
      <c r="AS28" s="930">
        <f t="shared" ca="1" si="46"/>
        <v>46255</v>
      </c>
      <c r="AT28" s="930">
        <f t="shared" ca="1" si="47"/>
        <v>46256</v>
      </c>
      <c r="AU28" s="930">
        <f t="shared" ca="1" si="48"/>
        <v>46257</v>
      </c>
      <c r="AV28" s="930"/>
      <c r="AW28" s="930">
        <f t="shared" ca="1" si="49"/>
        <v>46286</v>
      </c>
      <c r="AX28" s="930">
        <f t="shared" ca="1" si="50"/>
        <v>46287</v>
      </c>
      <c r="AY28" s="930">
        <f t="shared" ca="1" si="51"/>
        <v>46288</v>
      </c>
      <c r="AZ28" s="930">
        <f t="shared" ca="1" si="52"/>
        <v>46289</v>
      </c>
      <c r="BA28" s="930">
        <f t="shared" ca="1" si="53"/>
        <v>46290</v>
      </c>
      <c r="BB28" s="930">
        <f t="shared" ca="1" si="54"/>
        <v>46291</v>
      </c>
      <c r="BC28" s="930">
        <f t="shared" ca="1" si="55"/>
        <v>46292</v>
      </c>
    </row>
    <row r="29" spans="2:55" x14ac:dyDescent="0.3">
      <c r="B29" s="929">
        <f t="shared" ca="1" si="32"/>
        <v>46230</v>
      </c>
      <c r="C29" s="929">
        <f t="shared" ca="1" si="32"/>
        <v>46231</v>
      </c>
      <c r="D29" s="929">
        <f t="shared" ca="1" si="32"/>
        <v>46232</v>
      </c>
      <c r="E29" s="929">
        <f t="shared" ca="1" si="32"/>
        <v>46233</v>
      </c>
      <c r="F29" s="929">
        <f t="shared" ca="1" si="32"/>
        <v>46234</v>
      </c>
      <c r="G29" s="929" t="str">
        <f t="shared" ca="1" si="32"/>
        <v/>
      </c>
      <c r="H29" s="929" t="str">
        <f t="shared" ca="1" si="32"/>
        <v/>
      </c>
      <c r="J29" s="929">
        <f t="shared" ca="1" si="33"/>
        <v>46258</v>
      </c>
      <c r="K29" s="929">
        <f t="shared" ca="1" si="33"/>
        <v>46259</v>
      </c>
      <c r="L29" s="929">
        <f t="shared" ca="1" si="33"/>
        <v>46260</v>
      </c>
      <c r="M29" s="929">
        <f t="shared" ca="1" si="33"/>
        <v>46261</v>
      </c>
      <c r="N29" s="929">
        <f t="shared" ca="1" si="33"/>
        <v>46262</v>
      </c>
      <c r="O29" s="929">
        <f t="shared" ca="1" si="33"/>
        <v>46263</v>
      </c>
      <c r="P29" s="929">
        <f t="shared" ca="1" si="33"/>
        <v>46264</v>
      </c>
      <c r="R29" s="929">
        <f t="shared" ca="1" si="34"/>
        <v>46293</v>
      </c>
      <c r="S29" s="929">
        <f t="shared" ca="1" si="34"/>
        <v>46294</v>
      </c>
      <c r="T29" s="929">
        <f t="shared" ca="1" si="34"/>
        <v>46295</v>
      </c>
      <c r="U29" s="929" t="str">
        <f t="shared" ca="1" si="34"/>
        <v/>
      </c>
      <c r="V29" s="929" t="str">
        <f t="shared" ca="1" si="34"/>
        <v/>
      </c>
      <c r="W29" s="929" t="str">
        <f t="shared" ca="1" si="34"/>
        <v/>
      </c>
      <c r="X29" s="929" t="str">
        <f t="shared" ca="1" si="34"/>
        <v/>
      </c>
      <c r="AG29" s="930">
        <f t="shared" ca="1" si="35"/>
        <v>46230</v>
      </c>
      <c r="AH29" s="930">
        <f t="shared" ca="1" si="36"/>
        <v>46231</v>
      </c>
      <c r="AI29" s="930">
        <f t="shared" ca="1" si="37"/>
        <v>46232</v>
      </c>
      <c r="AJ29" s="930">
        <f t="shared" ca="1" si="38"/>
        <v>46233</v>
      </c>
      <c r="AK29" s="930">
        <f t="shared" ca="1" si="39"/>
        <v>46234</v>
      </c>
      <c r="AL29" s="930" t="str">
        <f t="shared" ca="1" si="40"/>
        <v/>
      </c>
      <c r="AM29" s="930" t="str">
        <f t="shared" ca="1" si="41"/>
        <v/>
      </c>
      <c r="AN29" s="930"/>
      <c r="AO29" s="930">
        <f t="shared" ca="1" si="42"/>
        <v>46258</v>
      </c>
      <c r="AP29" s="930">
        <f t="shared" ca="1" si="43"/>
        <v>46259</v>
      </c>
      <c r="AQ29" s="930">
        <f t="shared" ca="1" si="44"/>
        <v>46260</v>
      </c>
      <c r="AR29" s="930">
        <f t="shared" ca="1" si="45"/>
        <v>46261</v>
      </c>
      <c r="AS29" s="930">
        <f t="shared" ca="1" si="46"/>
        <v>46262</v>
      </c>
      <c r="AT29" s="930">
        <f t="shared" ca="1" si="47"/>
        <v>46263</v>
      </c>
      <c r="AU29" s="930">
        <f t="shared" ca="1" si="48"/>
        <v>46264</v>
      </c>
      <c r="AV29" s="930"/>
      <c r="AW29" s="930">
        <f t="shared" ca="1" si="49"/>
        <v>46293</v>
      </c>
      <c r="AX29" s="930">
        <f t="shared" ca="1" si="50"/>
        <v>46294</v>
      </c>
      <c r="AY29" s="930">
        <f t="shared" ca="1" si="51"/>
        <v>46295</v>
      </c>
      <c r="AZ29" s="930" t="str">
        <f t="shared" ca="1" si="52"/>
        <v/>
      </c>
      <c r="BA29" s="930" t="str">
        <f t="shared" ca="1" si="53"/>
        <v/>
      </c>
      <c r="BB29" s="930" t="str">
        <f t="shared" ca="1" si="54"/>
        <v/>
      </c>
      <c r="BC29" s="930" t="str">
        <f t="shared" ca="1" si="55"/>
        <v/>
      </c>
    </row>
    <row r="30" spans="2:55" x14ac:dyDescent="0.3">
      <c r="B30" s="929" t="str">
        <f t="shared" ca="1" si="32"/>
        <v/>
      </c>
      <c r="C30" s="929" t="str">
        <f t="shared" ca="1" si="32"/>
        <v/>
      </c>
      <c r="D30" s="929" t="str">
        <f t="shared" ca="1" si="32"/>
        <v/>
      </c>
      <c r="E30" s="929" t="str">
        <f t="shared" ca="1" si="32"/>
        <v/>
      </c>
      <c r="F30" s="929" t="str">
        <f t="shared" ca="1" si="32"/>
        <v/>
      </c>
      <c r="G30" s="929" t="str">
        <f t="shared" ca="1" si="32"/>
        <v/>
      </c>
      <c r="H30" s="929" t="str">
        <f t="shared" ca="1" si="32"/>
        <v/>
      </c>
      <c r="J30" s="929">
        <f t="shared" ca="1" si="33"/>
        <v>46265</v>
      </c>
      <c r="K30" s="929" t="str">
        <f t="shared" ca="1" si="33"/>
        <v/>
      </c>
      <c r="L30" s="929" t="str">
        <f t="shared" ca="1" si="33"/>
        <v/>
      </c>
      <c r="M30" s="929" t="str">
        <f t="shared" ca="1" si="33"/>
        <v/>
      </c>
      <c r="N30" s="929" t="str">
        <f t="shared" ca="1" si="33"/>
        <v/>
      </c>
      <c r="O30" s="929" t="str">
        <f t="shared" ca="1" si="33"/>
        <v/>
      </c>
      <c r="P30" s="929" t="str">
        <f t="shared" ca="1" si="33"/>
        <v/>
      </c>
      <c r="R30" s="929" t="str">
        <f t="shared" ca="1" si="34"/>
        <v/>
      </c>
      <c r="S30" s="929" t="str">
        <f t="shared" ca="1" si="34"/>
        <v/>
      </c>
      <c r="T30" s="929" t="str">
        <f t="shared" ca="1" si="34"/>
        <v/>
      </c>
      <c r="U30" s="929" t="str">
        <f t="shared" ca="1" si="34"/>
        <v/>
      </c>
      <c r="V30" s="929" t="str">
        <f t="shared" ca="1" si="34"/>
        <v/>
      </c>
      <c r="W30" s="929" t="str">
        <f t="shared" ca="1" si="34"/>
        <v/>
      </c>
      <c r="X30" s="929" t="str">
        <f t="shared" ca="1" si="34"/>
        <v/>
      </c>
      <c r="AG30" s="930" t="str">
        <f t="shared" ca="1" si="35"/>
        <v/>
      </c>
      <c r="AH30" s="930" t="str">
        <f t="shared" ca="1" si="36"/>
        <v/>
      </c>
      <c r="AI30" s="930" t="str">
        <f t="shared" ca="1" si="37"/>
        <v/>
      </c>
      <c r="AJ30" s="930" t="str">
        <f t="shared" ca="1" si="38"/>
        <v/>
      </c>
      <c r="AK30" s="930" t="str">
        <f t="shared" ca="1" si="39"/>
        <v/>
      </c>
      <c r="AL30" s="930" t="str">
        <f t="shared" ca="1" si="40"/>
        <v/>
      </c>
      <c r="AM30" s="930" t="str">
        <f t="shared" ca="1" si="41"/>
        <v/>
      </c>
      <c r="AN30" s="930"/>
      <c r="AO30" s="930">
        <f t="shared" ca="1" si="42"/>
        <v>46265</v>
      </c>
      <c r="AP30" s="930" t="str">
        <f t="shared" ca="1" si="43"/>
        <v/>
      </c>
      <c r="AQ30" s="930" t="str">
        <f t="shared" ca="1" si="44"/>
        <v/>
      </c>
      <c r="AR30" s="930" t="str">
        <f t="shared" ca="1" si="45"/>
        <v/>
      </c>
      <c r="AS30" s="930" t="str">
        <f t="shared" ca="1" si="46"/>
        <v/>
      </c>
      <c r="AT30" s="930" t="str">
        <f t="shared" ca="1" si="47"/>
        <v/>
      </c>
      <c r="AU30" s="930" t="str">
        <f t="shared" ca="1" si="48"/>
        <v/>
      </c>
      <c r="AV30" s="930"/>
      <c r="AW30" s="930" t="str">
        <f t="shared" ca="1" si="49"/>
        <v/>
      </c>
      <c r="AX30" s="930" t="str">
        <f t="shared" ca="1" si="50"/>
        <v/>
      </c>
      <c r="AY30" s="930" t="str">
        <f t="shared" ca="1" si="51"/>
        <v/>
      </c>
      <c r="AZ30" s="930" t="str">
        <f t="shared" ca="1" si="52"/>
        <v/>
      </c>
      <c r="BA30" s="930" t="str">
        <f t="shared" ca="1" si="53"/>
        <v/>
      </c>
      <c r="BB30" s="930" t="str">
        <f t="shared" ca="1" si="54"/>
        <v/>
      </c>
      <c r="BC30" s="930" t="str">
        <f t="shared" ca="1" si="55"/>
        <v/>
      </c>
    </row>
    <row r="31" spans="2:55" ht="8.1" customHeight="1" x14ac:dyDescent="0.3"/>
    <row r="32" spans="2:55" ht="15.6" x14ac:dyDescent="0.3">
      <c r="B32" s="1119">
        <f ca="1">DATE(YEAR(R23+35),MONTH(R23+35),1)</f>
        <v>46296</v>
      </c>
      <c r="C32" s="1120"/>
      <c r="D32" s="1120"/>
      <c r="E32" s="1120"/>
      <c r="F32" s="1120"/>
      <c r="G32" s="1120"/>
      <c r="H32" s="1121"/>
      <c r="J32" s="1119">
        <f ca="1">DATE(YEAR(B32+35),MONTH(B32+35),1)</f>
        <v>46327</v>
      </c>
      <c r="K32" s="1120"/>
      <c r="L32" s="1120"/>
      <c r="M32" s="1120"/>
      <c r="N32" s="1120"/>
      <c r="O32" s="1120"/>
      <c r="P32" s="1121"/>
      <c r="R32" s="1119">
        <f ca="1">DATE(YEAR(J32+35),MONTH(J32+35),1)</f>
        <v>46357</v>
      </c>
      <c r="S32" s="1120"/>
      <c r="T32" s="1120"/>
      <c r="U32" s="1120"/>
      <c r="V32" s="1120"/>
      <c r="W32" s="1120"/>
      <c r="X32" s="1121"/>
      <c r="AG32" s="1114"/>
      <c r="AH32" s="1115"/>
      <c r="AI32" s="1115"/>
      <c r="AJ32" s="1115"/>
      <c r="AK32" s="1115"/>
      <c r="AL32" s="1115"/>
      <c r="AM32" s="1116"/>
      <c r="AO32" s="1114"/>
      <c r="AP32" s="1115"/>
      <c r="AQ32" s="1115"/>
      <c r="AR32" s="1115"/>
      <c r="AS32" s="1115"/>
      <c r="AT32" s="1115"/>
      <c r="AU32" s="1116"/>
      <c r="AW32" s="1114"/>
      <c r="AX32" s="1115"/>
      <c r="AY32" s="1115"/>
      <c r="AZ32" s="1115"/>
      <c r="BA32" s="1115"/>
      <c r="BB32" s="1115"/>
      <c r="BC32" s="1116"/>
    </row>
    <row r="33" spans="2:55" x14ac:dyDescent="0.3">
      <c r="B33" s="921" t="str">
        <f ca="1">$B$6</f>
        <v>Lu</v>
      </c>
      <c r="C33" s="922" t="str">
        <f ca="1">$C$6</f>
        <v>Ma</v>
      </c>
      <c r="D33" s="922" t="str">
        <f ca="1">$D$6</f>
        <v>Me</v>
      </c>
      <c r="E33" s="922" t="str">
        <f ca="1">$E$6</f>
        <v>Je</v>
      </c>
      <c r="F33" s="922" t="str">
        <f ca="1">$F$6</f>
        <v>Ve</v>
      </c>
      <c r="G33" s="922" t="str">
        <f ca="1">$G$6</f>
        <v>Sa</v>
      </c>
      <c r="H33" s="923" t="str">
        <f ca="1">$H$6</f>
        <v>Di</v>
      </c>
      <c r="J33" s="921" t="str">
        <f ca="1">$B$6</f>
        <v>Lu</v>
      </c>
      <c r="K33" s="922" t="str">
        <f ca="1">$C$6</f>
        <v>Ma</v>
      </c>
      <c r="L33" s="922" t="str">
        <f ca="1">$D$6</f>
        <v>Me</v>
      </c>
      <c r="M33" s="922" t="str">
        <f ca="1">$E$6</f>
        <v>Je</v>
      </c>
      <c r="N33" s="922" t="str">
        <f ca="1">$F$6</f>
        <v>Ve</v>
      </c>
      <c r="O33" s="922" t="str">
        <f ca="1">$G$6</f>
        <v>Sa</v>
      </c>
      <c r="P33" s="923" t="str">
        <f ca="1">$H$6</f>
        <v>Di</v>
      </c>
      <c r="R33" s="921" t="str">
        <f ca="1">$B$6</f>
        <v>Lu</v>
      </c>
      <c r="S33" s="922" t="str">
        <f ca="1">$C$6</f>
        <v>Ma</v>
      </c>
      <c r="T33" s="922" t="str">
        <f ca="1">$D$6</f>
        <v>Me</v>
      </c>
      <c r="U33" s="922" t="str">
        <f ca="1">$E$6</f>
        <v>Je</v>
      </c>
      <c r="V33" s="922" t="str">
        <f ca="1">$F$6</f>
        <v>Ve</v>
      </c>
      <c r="W33" s="922" t="str">
        <f ca="1">$G$6</f>
        <v>Sa</v>
      </c>
      <c r="X33" s="923" t="str">
        <f ca="1">$H$6</f>
        <v>Di</v>
      </c>
      <c r="AG33" s="926"/>
      <c r="AH33" s="927"/>
      <c r="AI33" s="927"/>
      <c r="AJ33" s="927"/>
      <c r="AK33" s="927"/>
      <c r="AL33" s="927"/>
      <c r="AM33" s="928"/>
      <c r="AO33" s="926"/>
      <c r="AP33" s="927"/>
      <c r="AQ33" s="927"/>
      <c r="AR33" s="927"/>
      <c r="AS33" s="927"/>
      <c r="AT33" s="927"/>
      <c r="AU33" s="928"/>
      <c r="AW33" s="926"/>
      <c r="AX33" s="927"/>
      <c r="AY33" s="927"/>
      <c r="AZ33" s="927"/>
      <c r="BA33" s="927"/>
      <c r="BB33" s="927"/>
      <c r="BC33" s="928"/>
    </row>
    <row r="34" spans="2:55" x14ac:dyDescent="0.3">
      <c r="B34" s="929" t="str">
        <f t="shared" ref="B34:H39" ca="1" si="56">IF(MONTH($B$32)&lt;&gt;MONTH($B$32-(WEEKDAY($B$32,1)-($AA$6-1))-IF((WEEKDAY($B$32,1)-($AA$6-1))&lt;=0,7,0)+(ROW(B34)-ROW($B$34))*7+(COLUMN(B34)-COLUMN($B$34)+1)),"",$B$32-(WEEKDAY($B$32,1)-($AA$6-1))-IF((WEEKDAY($B$32,1)-($AA$6-1))&lt;=0,7,0)+(ROW(B34)-ROW($B$34))*7+(COLUMN(B34)-COLUMN($B$34)+1))</f>
        <v/>
      </c>
      <c r="C34" s="929" t="str">
        <f t="shared" ca="1" si="56"/>
        <v/>
      </c>
      <c r="D34" s="929" t="str">
        <f t="shared" ca="1" si="56"/>
        <v/>
      </c>
      <c r="E34" s="929">
        <f t="shared" ca="1" si="56"/>
        <v>46296</v>
      </c>
      <c r="F34" s="929">
        <f t="shared" ca="1" si="56"/>
        <v>46297</v>
      </c>
      <c r="G34" s="929">
        <f t="shared" ca="1" si="56"/>
        <v>46298</v>
      </c>
      <c r="H34" s="929">
        <f t="shared" ca="1" si="56"/>
        <v>46299</v>
      </c>
      <c r="J34" s="929" t="str">
        <f t="shared" ref="J34:P39" ca="1" si="57">IF(MONTH($J$32)&lt;&gt;MONTH($J$32-(WEEKDAY($J$32,1)-($AA$6-1))-IF((WEEKDAY($J$32,1)-($AA$6-1))&lt;=0,7,0)+(ROW(J34)-ROW($J$34))*7+(COLUMN(J34)-COLUMN($J$34)+1)),"",$J$32-(WEEKDAY($J$32,1)-($AA$6-1))-IF((WEEKDAY($J$32,1)-($AA$6-1))&lt;=0,7,0)+(ROW(J34)-ROW($J$34))*7+(COLUMN(J34)-COLUMN($J$34)+1))</f>
        <v/>
      </c>
      <c r="K34" s="929" t="str">
        <f t="shared" ca="1" si="57"/>
        <v/>
      </c>
      <c r="L34" s="929" t="str">
        <f t="shared" ca="1" si="57"/>
        <v/>
      </c>
      <c r="M34" s="929" t="str">
        <f t="shared" ca="1" si="57"/>
        <v/>
      </c>
      <c r="N34" s="929" t="str">
        <f t="shared" ca="1" si="57"/>
        <v/>
      </c>
      <c r="O34" s="929" t="str">
        <f t="shared" ca="1" si="57"/>
        <v/>
      </c>
      <c r="P34" s="929">
        <f t="shared" ca="1" si="57"/>
        <v>46327</v>
      </c>
      <c r="R34" s="929" t="str">
        <f t="shared" ref="R34:X39" ca="1" si="58">IF(MONTH($R$32)&lt;&gt;MONTH($R$32-(WEEKDAY($R$32,1)-($AA$6-1))-IF((WEEKDAY($R$32,1)-($AA$6-1))&lt;=0,7,0)+(ROW(R34)-ROW($R$34))*7+(COLUMN(R34)-COLUMN($R$34)+1)),"",$R$32-(WEEKDAY($R$32,1)-($AA$6-1))-IF((WEEKDAY($R$32,1)-($AA$6-1))&lt;=0,7,0)+(ROW(R34)-ROW($R$34))*7+(COLUMN(R34)-COLUMN($R$34)+1))</f>
        <v/>
      </c>
      <c r="S34" s="929">
        <f t="shared" ca="1" si="58"/>
        <v>46357</v>
      </c>
      <c r="T34" s="929">
        <f t="shared" ca="1" si="58"/>
        <v>46358</v>
      </c>
      <c r="U34" s="929">
        <f t="shared" ca="1" si="58"/>
        <v>46359</v>
      </c>
      <c r="V34" s="929">
        <f t="shared" ca="1" si="58"/>
        <v>46360</v>
      </c>
      <c r="W34" s="929">
        <f t="shared" ca="1" si="58"/>
        <v>46361</v>
      </c>
      <c r="X34" s="929">
        <f t="shared" ca="1" si="58"/>
        <v>46362</v>
      </c>
      <c r="AG34" s="930" t="str">
        <f t="shared" ref="AG34:AG39" ca="1" si="59">B34</f>
        <v/>
      </c>
      <c r="AH34" s="930" t="str">
        <f t="shared" ref="AH34:BC34" ca="1" si="60">C34</f>
        <v/>
      </c>
      <c r="AI34" s="930" t="str">
        <f t="shared" ca="1" si="60"/>
        <v/>
      </c>
      <c r="AJ34" s="930">
        <f t="shared" ca="1" si="60"/>
        <v>46296</v>
      </c>
      <c r="AK34" s="930">
        <f t="shared" ca="1" si="60"/>
        <v>46297</v>
      </c>
      <c r="AL34" s="930">
        <f t="shared" ca="1" si="60"/>
        <v>46298</v>
      </c>
      <c r="AM34" s="930">
        <f t="shared" ca="1" si="60"/>
        <v>46299</v>
      </c>
      <c r="AN34" s="930"/>
      <c r="AO34" s="930" t="str">
        <f t="shared" ca="1" si="60"/>
        <v/>
      </c>
      <c r="AP34" s="930" t="str">
        <f t="shared" ca="1" si="60"/>
        <v/>
      </c>
      <c r="AQ34" s="930" t="str">
        <f t="shared" ca="1" si="60"/>
        <v/>
      </c>
      <c r="AR34" s="930" t="str">
        <f t="shared" ca="1" si="60"/>
        <v/>
      </c>
      <c r="AS34" s="930" t="str">
        <f t="shared" ca="1" si="60"/>
        <v/>
      </c>
      <c r="AT34" s="930" t="str">
        <f t="shared" ca="1" si="60"/>
        <v/>
      </c>
      <c r="AU34" s="930">
        <f t="shared" ca="1" si="60"/>
        <v>46327</v>
      </c>
      <c r="AV34" s="930"/>
      <c r="AW34" s="930" t="str">
        <f t="shared" ca="1" si="60"/>
        <v/>
      </c>
      <c r="AX34" s="930">
        <f t="shared" ca="1" si="60"/>
        <v>46357</v>
      </c>
      <c r="AY34" s="930">
        <f t="shared" ca="1" si="60"/>
        <v>46358</v>
      </c>
      <c r="AZ34" s="930">
        <f t="shared" ca="1" si="60"/>
        <v>46359</v>
      </c>
      <c r="BA34" s="930">
        <f t="shared" ca="1" si="60"/>
        <v>46360</v>
      </c>
      <c r="BB34" s="930">
        <f t="shared" ca="1" si="60"/>
        <v>46361</v>
      </c>
      <c r="BC34" s="930">
        <f t="shared" ca="1" si="60"/>
        <v>46362</v>
      </c>
    </row>
    <row r="35" spans="2:55" x14ac:dyDescent="0.3">
      <c r="B35" s="929">
        <f t="shared" ca="1" si="56"/>
        <v>46300</v>
      </c>
      <c r="C35" s="929">
        <f t="shared" ca="1" si="56"/>
        <v>46301</v>
      </c>
      <c r="D35" s="929">
        <f t="shared" ca="1" si="56"/>
        <v>46302</v>
      </c>
      <c r="E35" s="929">
        <f t="shared" ca="1" si="56"/>
        <v>46303</v>
      </c>
      <c r="F35" s="929">
        <f t="shared" ca="1" si="56"/>
        <v>46304</v>
      </c>
      <c r="G35" s="929">
        <f t="shared" ca="1" si="56"/>
        <v>46305</v>
      </c>
      <c r="H35" s="929">
        <f t="shared" ca="1" si="56"/>
        <v>46306</v>
      </c>
      <c r="J35" s="929">
        <f t="shared" ca="1" si="57"/>
        <v>46328</v>
      </c>
      <c r="K35" s="929">
        <f t="shared" ca="1" si="57"/>
        <v>46329</v>
      </c>
      <c r="L35" s="929">
        <f t="shared" ca="1" si="57"/>
        <v>46330</v>
      </c>
      <c r="M35" s="929">
        <f t="shared" ca="1" si="57"/>
        <v>46331</v>
      </c>
      <c r="N35" s="929">
        <f t="shared" ca="1" si="57"/>
        <v>46332</v>
      </c>
      <c r="O35" s="929">
        <f t="shared" ca="1" si="57"/>
        <v>46333</v>
      </c>
      <c r="P35" s="929">
        <f t="shared" ca="1" si="57"/>
        <v>46334</v>
      </c>
      <c r="R35" s="929">
        <f t="shared" ca="1" si="58"/>
        <v>46363</v>
      </c>
      <c r="S35" s="929">
        <f t="shared" ca="1" si="58"/>
        <v>46364</v>
      </c>
      <c r="T35" s="929">
        <f t="shared" ca="1" si="58"/>
        <v>46365</v>
      </c>
      <c r="U35" s="929">
        <f t="shared" ca="1" si="58"/>
        <v>46366</v>
      </c>
      <c r="V35" s="929">
        <f t="shared" ca="1" si="58"/>
        <v>46367</v>
      </c>
      <c r="W35" s="929">
        <f t="shared" ca="1" si="58"/>
        <v>46368</v>
      </c>
      <c r="X35" s="929">
        <f t="shared" ca="1" si="58"/>
        <v>46369</v>
      </c>
      <c r="AG35" s="930">
        <f t="shared" ca="1" si="59"/>
        <v>46300</v>
      </c>
      <c r="AH35" s="930">
        <f t="shared" ref="AH35:AM39" ca="1" si="61">C35</f>
        <v>46301</v>
      </c>
      <c r="AI35" s="930">
        <f t="shared" ca="1" si="61"/>
        <v>46302</v>
      </c>
      <c r="AJ35" s="930">
        <f t="shared" ca="1" si="61"/>
        <v>46303</v>
      </c>
      <c r="AK35" s="930">
        <f t="shared" ca="1" si="61"/>
        <v>46304</v>
      </c>
      <c r="AL35" s="930">
        <f t="shared" ca="1" si="61"/>
        <v>46305</v>
      </c>
      <c r="AM35" s="930">
        <f t="shared" ca="1" si="61"/>
        <v>46306</v>
      </c>
      <c r="AN35" s="930"/>
      <c r="AO35" s="930">
        <f t="shared" ref="AO35:AU39" ca="1" si="62">J35</f>
        <v>46328</v>
      </c>
      <c r="AP35" s="930">
        <f t="shared" ca="1" si="62"/>
        <v>46329</v>
      </c>
      <c r="AQ35" s="930">
        <f t="shared" ca="1" si="62"/>
        <v>46330</v>
      </c>
      <c r="AR35" s="930">
        <f t="shared" ca="1" si="62"/>
        <v>46331</v>
      </c>
      <c r="AS35" s="930">
        <f t="shared" ca="1" si="62"/>
        <v>46332</v>
      </c>
      <c r="AT35" s="930">
        <f t="shared" ca="1" si="62"/>
        <v>46333</v>
      </c>
      <c r="AU35" s="930">
        <f t="shared" ca="1" si="62"/>
        <v>46334</v>
      </c>
      <c r="AV35" s="930"/>
      <c r="AW35" s="930">
        <f t="shared" ref="AW35:BC39" ca="1" si="63">R35</f>
        <v>46363</v>
      </c>
      <c r="AX35" s="930">
        <f t="shared" ca="1" si="63"/>
        <v>46364</v>
      </c>
      <c r="AY35" s="930">
        <f t="shared" ca="1" si="63"/>
        <v>46365</v>
      </c>
      <c r="AZ35" s="930">
        <f t="shared" ca="1" si="63"/>
        <v>46366</v>
      </c>
      <c r="BA35" s="930">
        <f t="shared" ca="1" si="63"/>
        <v>46367</v>
      </c>
      <c r="BB35" s="930">
        <f t="shared" ca="1" si="63"/>
        <v>46368</v>
      </c>
      <c r="BC35" s="930">
        <f t="shared" ca="1" si="63"/>
        <v>46369</v>
      </c>
    </row>
    <row r="36" spans="2:55" x14ac:dyDescent="0.3">
      <c r="B36" s="929">
        <f t="shared" ca="1" si="56"/>
        <v>46307</v>
      </c>
      <c r="C36" s="929">
        <f t="shared" ca="1" si="56"/>
        <v>46308</v>
      </c>
      <c r="D36" s="929">
        <f t="shared" ca="1" si="56"/>
        <v>46309</v>
      </c>
      <c r="E36" s="929">
        <f t="shared" ca="1" si="56"/>
        <v>46310</v>
      </c>
      <c r="F36" s="929">
        <f t="shared" ca="1" si="56"/>
        <v>46311</v>
      </c>
      <c r="G36" s="929">
        <f t="shared" ca="1" si="56"/>
        <v>46312</v>
      </c>
      <c r="H36" s="929">
        <f t="shared" ca="1" si="56"/>
        <v>46313</v>
      </c>
      <c r="J36" s="929">
        <f t="shared" ca="1" si="57"/>
        <v>46335</v>
      </c>
      <c r="K36" s="929">
        <f t="shared" ca="1" si="57"/>
        <v>46336</v>
      </c>
      <c r="L36" s="929">
        <f t="shared" ca="1" si="57"/>
        <v>46337</v>
      </c>
      <c r="M36" s="929">
        <f t="shared" ca="1" si="57"/>
        <v>46338</v>
      </c>
      <c r="N36" s="929">
        <f t="shared" ca="1" si="57"/>
        <v>46339</v>
      </c>
      <c r="O36" s="929">
        <f t="shared" ca="1" si="57"/>
        <v>46340</v>
      </c>
      <c r="P36" s="929">
        <f t="shared" ca="1" si="57"/>
        <v>46341</v>
      </c>
      <c r="R36" s="929">
        <f t="shared" ca="1" si="58"/>
        <v>46370</v>
      </c>
      <c r="S36" s="929">
        <f t="shared" ca="1" si="58"/>
        <v>46371</v>
      </c>
      <c r="T36" s="929">
        <f t="shared" ca="1" si="58"/>
        <v>46372</v>
      </c>
      <c r="U36" s="929">
        <f t="shared" ca="1" si="58"/>
        <v>46373</v>
      </c>
      <c r="V36" s="929">
        <f t="shared" ca="1" si="58"/>
        <v>46374</v>
      </c>
      <c r="W36" s="929">
        <f t="shared" ca="1" si="58"/>
        <v>46375</v>
      </c>
      <c r="X36" s="929">
        <f t="shared" ca="1" si="58"/>
        <v>46376</v>
      </c>
      <c r="AG36" s="930">
        <f t="shared" ca="1" si="59"/>
        <v>46307</v>
      </c>
      <c r="AH36" s="930">
        <f t="shared" ca="1" si="61"/>
        <v>46308</v>
      </c>
      <c r="AI36" s="930">
        <f t="shared" ca="1" si="61"/>
        <v>46309</v>
      </c>
      <c r="AJ36" s="930">
        <f t="shared" ca="1" si="61"/>
        <v>46310</v>
      </c>
      <c r="AK36" s="930">
        <f t="shared" ca="1" si="61"/>
        <v>46311</v>
      </c>
      <c r="AL36" s="930">
        <f t="shared" ca="1" si="61"/>
        <v>46312</v>
      </c>
      <c r="AM36" s="930">
        <f t="shared" ca="1" si="61"/>
        <v>46313</v>
      </c>
      <c r="AN36" s="930"/>
      <c r="AO36" s="930">
        <f t="shared" ca="1" si="62"/>
        <v>46335</v>
      </c>
      <c r="AP36" s="930">
        <f t="shared" ca="1" si="62"/>
        <v>46336</v>
      </c>
      <c r="AQ36" s="930">
        <f t="shared" ca="1" si="62"/>
        <v>46337</v>
      </c>
      <c r="AR36" s="930">
        <f t="shared" ca="1" si="62"/>
        <v>46338</v>
      </c>
      <c r="AS36" s="930">
        <f t="shared" ca="1" si="62"/>
        <v>46339</v>
      </c>
      <c r="AT36" s="930">
        <f t="shared" ca="1" si="62"/>
        <v>46340</v>
      </c>
      <c r="AU36" s="930">
        <f t="shared" ca="1" si="62"/>
        <v>46341</v>
      </c>
      <c r="AV36" s="930"/>
      <c r="AW36" s="930">
        <f t="shared" ca="1" si="63"/>
        <v>46370</v>
      </c>
      <c r="AX36" s="930">
        <f t="shared" ca="1" si="63"/>
        <v>46371</v>
      </c>
      <c r="AY36" s="930">
        <f t="shared" ca="1" si="63"/>
        <v>46372</v>
      </c>
      <c r="AZ36" s="930">
        <f t="shared" ca="1" si="63"/>
        <v>46373</v>
      </c>
      <c r="BA36" s="930">
        <f t="shared" ca="1" si="63"/>
        <v>46374</v>
      </c>
      <c r="BB36" s="930">
        <f t="shared" ca="1" si="63"/>
        <v>46375</v>
      </c>
      <c r="BC36" s="930">
        <f t="shared" ca="1" si="63"/>
        <v>46376</v>
      </c>
    </row>
    <row r="37" spans="2:55" x14ac:dyDescent="0.3">
      <c r="B37" s="929">
        <f t="shared" ca="1" si="56"/>
        <v>46314</v>
      </c>
      <c r="C37" s="929">
        <f t="shared" ca="1" si="56"/>
        <v>46315</v>
      </c>
      <c r="D37" s="929">
        <f t="shared" ca="1" si="56"/>
        <v>46316</v>
      </c>
      <c r="E37" s="929">
        <f t="shared" ca="1" si="56"/>
        <v>46317</v>
      </c>
      <c r="F37" s="929">
        <f t="shared" ca="1" si="56"/>
        <v>46318</v>
      </c>
      <c r="G37" s="929">
        <f t="shared" ca="1" si="56"/>
        <v>46319</v>
      </c>
      <c r="H37" s="929">
        <f t="shared" ca="1" si="56"/>
        <v>46320</v>
      </c>
      <c r="J37" s="929">
        <f t="shared" ca="1" si="57"/>
        <v>46342</v>
      </c>
      <c r="K37" s="929">
        <f t="shared" ca="1" si="57"/>
        <v>46343</v>
      </c>
      <c r="L37" s="929">
        <f t="shared" ca="1" si="57"/>
        <v>46344</v>
      </c>
      <c r="M37" s="929">
        <f t="shared" ca="1" si="57"/>
        <v>46345</v>
      </c>
      <c r="N37" s="929">
        <f t="shared" ca="1" si="57"/>
        <v>46346</v>
      </c>
      <c r="O37" s="929">
        <f t="shared" ca="1" si="57"/>
        <v>46347</v>
      </c>
      <c r="P37" s="929">
        <f t="shared" ca="1" si="57"/>
        <v>46348</v>
      </c>
      <c r="R37" s="929">
        <f t="shared" ca="1" si="58"/>
        <v>46377</v>
      </c>
      <c r="S37" s="929">
        <f t="shared" ca="1" si="58"/>
        <v>46378</v>
      </c>
      <c r="T37" s="929">
        <f t="shared" ca="1" si="58"/>
        <v>46379</v>
      </c>
      <c r="U37" s="929">
        <f t="shared" ca="1" si="58"/>
        <v>46380</v>
      </c>
      <c r="V37" s="929">
        <f t="shared" ca="1" si="58"/>
        <v>46381</v>
      </c>
      <c r="W37" s="929">
        <f t="shared" ca="1" si="58"/>
        <v>46382</v>
      </c>
      <c r="X37" s="929">
        <f t="shared" ca="1" si="58"/>
        <v>46383</v>
      </c>
      <c r="AG37" s="930">
        <f t="shared" ca="1" si="59"/>
        <v>46314</v>
      </c>
      <c r="AH37" s="930">
        <f t="shared" ca="1" si="61"/>
        <v>46315</v>
      </c>
      <c r="AI37" s="930">
        <f t="shared" ca="1" si="61"/>
        <v>46316</v>
      </c>
      <c r="AJ37" s="930">
        <f t="shared" ca="1" si="61"/>
        <v>46317</v>
      </c>
      <c r="AK37" s="930">
        <f t="shared" ca="1" si="61"/>
        <v>46318</v>
      </c>
      <c r="AL37" s="930">
        <f t="shared" ca="1" si="61"/>
        <v>46319</v>
      </c>
      <c r="AM37" s="930">
        <f t="shared" ca="1" si="61"/>
        <v>46320</v>
      </c>
      <c r="AN37" s="930"/>
      <c r="AO37" s="930">
        <f t="shared" ca="1" si="62"/>
        <v>46342</v>
      </c>
      <c r="AP37" s="930">
        <f t="shared" ca="1" si="62"/>
        <v>46343</v>
      </c>
      <c r="AQ37" s="930">
        <f t="shared" ca="1" si="62"/>
        <v>46344</v>
      </c>
      <c r="AR37" s="930">
        <f t="shared" ca="1" si="62"/>
        <v>46345</v>
      </c>
      <c r="AS37" s="930">
        <f t="shared" ca="1" si="62"/>
        <v>46346</v>
      </c>
      <c r="AT37" s="930">
        <f t="shared" ca="1" si="62"/>
        <v>46347</v>
      </c>
      <c r="AU37" s="930">
        <f t="shared" ca="1" si="62"/>
        <v>46348</v>
      </c>
      <c r="AV37" s="930"/>
      <c r="AW37" s="930">
        <f t="shared" ca="1" si="63"/>
        <v>46377</v>
      </c>
      <c r="AX37" s="930">
        <f t="shared" ca="1" si="63"/>
        <v>46378</v>
      </c>
      <c r="AY37" s="930">
        <f t="shared" ca="1" si="63"/>
        <v>46379</v>
      </c>
      <c r="AZ37" s="930">
        <f t="shared" ca="1" si="63"/>
        <v>46380</v>
      </c>
      <c r="BA37" s="930">
        <f t="shared" ca="1" si="63"/>
        <v>46381</v>
      </c>
      <c r="BB37" s="930">
        <f t="shared" ca="1" si="63"/>
        <v>46382</v>
      </c>
      <c r="BC37" s="930">
        <f t="shared" ca="1" si="63"/>
        <v>46383</v>
      </c>
    </row>
    <row r="38" spans="2:55" x14ac:dyDescent="0.3">
      <c r="B38" s="929">
        <f t="shared" ca="1" si="56"/>
        <v>46321</v>
      </c>
      <c r="C38" s="929">
        <f t="shared" ca="1" si="56"/>
        <v>46322</v>
      </c>
      <c r="D38" s="929">
        <f t="shared" ca="1" si="56"/>
        <v>46323</v>
      </c>
      <c r="E38" s="929">
        <f t="shared" ca="1" si="56"/>
        <v>46324</v>
      </c>
      <c r="F38" s="929">
        <f t="shared" ca="1" si="56"/>
        <v>46325</v>
      </c>
      <c r="G38" s="929">
        <f t="shared" ca="1" si="56"/>
        <v>46326</v>
      </c>
      <c r="H38" s="929" t="str">
        <f t="shared" ca="1" si="56"/>
        <v/>
      </c>
      <c r="J38" s="929">
        <f t="shared" ca="1" si="57"/>
        <v>46349</v>
      </c>
      <c r="K38" s="929">
        <f t="shared" ca="1" si="57"/>
        <v>46350</v>
      </c>
      <c r="L38" s="929">
        <f t="shared" ca="1" si="57"/>
        <v>46351</v>
      </c>
      <c r="M38" s="929">
        <f t="shared" ca="1" si="57"/>
        <v>46352</v>
      </c>
      <c r="N38" s="929">
        <f t="shared" ca="1" si="57"/>
        <v>46353</v>
      </c>
      <c r="O38" s="929">
        <f t="shared" ca="1" si="57"/>
        <v>46354</v>
      </c>
      <c r="P38" s="929">
        <f t="shared" ca="1" si="57"/>
        <v>46355</v>
      </c>
      <c r="R38" s="929">
        <f t="shared" ca="1" si="58"/>
        <v>46384</v>
      </c>
      <c r="S38" s="929">
        <f t="shared" ca="1" si="58"/>
        <v>46385</v>
      </c>
      <c r="T38" s="929">
        <f t="shared" ca="1" si="58"/>
        <v>46386</v>
      </c>
      <c r="U38" s="929">
        <f t="shared" ca="1" si="58"/>
        <v>46387</v>
      </c>
      <c r="V38" s="929" t="str">
        <f t="shared" ca="1" si="58"/>
        <v/>
      </c>
      <c r="W38" s="929" t="str">
        <f t="shared" ca="1" si="58"/>
        <v/>
      </c>
      <c r="X38" s="929" t="str">
        <f t="shared" ca="1" si="58"/>
        <v/>
      </c>
      <c r="AG38" s="930">
        <f t="shared" ca="1" si="59"/>
        <v>46321</v>
      </c>
      <c r="AH38" s="930">
        <f t="shared" ca="1" si="61"/>
        <v>46322</v>
      </c>
      <c r="AI38" s="930">
        <f t="shared" ca="1" si="61"/>
        <v>46323</v>
      </c>
      <c r="AJ38" s="930">
        <f t="shared" ca="1" si="61"/>
        <v>46324</v>
      </c>
      <c r="AK38" s="930">
        <f t="shared" ca="1" si="61"/>
        <v>46325</v>
      </c>
      <c r="AL38" s="930">
        <f t="shared" ca="1" si="61"/>
        <v>46326</v>
      </c>
      <c r="AM38" s="930" t="str">
        <f t="shared" ca="1" si="61"/>
        <v/>
      </c>
      <c r="AN38" s="930"/>
      <c r="AO38" s="930">
        <f t="shared" ca="1" si="62"/>
        <v>46349</v>
      </c>
      <c r="AP38" s="930">
        <f t="shared" ca="1" si="62"/>
        <v>46350</v>
      </c>
      <c r="AQ38" s="930">
        <f t="shared" ca="1" si="62"/>
        <v>46351</v>
      </c>
      <c r="AR38" s="930">
        <f t="shared" ca="1" si="62"/>
        <v>46352</v>
      </c>
      <c r="AS38" s="930">
        <f t="shared" ca="1" si="62"/>
        <v>46353</v>
      </c>
      <c r="AT38" s="930">
        <f t="shared" ca="1" si="62"/>
        <v>46354</v>
      </c>
      <c r="AU38" s="930">
        <f t="shared" ca="1" si="62"/>
        <v>46355</v>
      </c>
      <c r="AV38" s="930"/>
      <c r="AW38" s="930">
        <f t="shared" ca="1" si="63"/>
        <v>46384</v>
      </c>
      <c r="AX38" s="930">
        <f t="shared" ca="1" si="63"/>
        <v>46385</v>
      </c>
      <c r="AY38" s="930">
        <f t="shared" ca="1" si="63"/>
        <v>46386</v>
      </c>
      <c r="AZ38" s="930">
        <f t="shared" ca="1" si="63"/>
        <v>46387</v>
      </c>
      <c r="BA38" s="930" t="str">
        <f t="shared" ca="1" si="63"/>
        <v/>
      </c>
      <c r="BB38" s="930" t="str">
        <f t="shared" ca="1" si="63"/>
        <v/>
      </c>
      <c r="BC38" s="930" t="str">
        <f t="shared" ca="1" si="63"/>
        <v/>
      </c>
    </row>
    <row r="39" spans="2:55" x14ac:dyDescent="0.3">
      <c r="B39" s="929" t="str">
        <f t="shared" ca="1" si="56"/>
        <v/>
      </c>
      <c r="C39" s="929" t="str">
        <f t="shared" ca="1" si="56"/>
        <v/>
      </c>
      <c r="D39" s="929" t="str">
        <f t="shared" ca="1" si="56"/>
        <v/>
      </c>
      <c r="E39" s="929" t="str">
        <f t="shared" ca="1" si="56"/>
        <v/>
      </c>
      <c r="F39" s="929" t="str">
        <f t="shared" ca="1" si="56"/>
        <v/>
      </c>
      <c r="G39" s="929" t="str">
        <f t="shared" ca="1" si="56"/>
        <v/>
      </c>
      <c r="H39" s="929" t="str">
        <f t="shared" ca="1" si="56"/>
        <v/>
      </c>
      <c r="J39" s="929">
        <f t="shared" ca="1" si="57"/>
        <v>46356</v>
      </c>
      <c r="K39" s="929" t="str">
        <f t="shared" ca="1" si="57"/>
        <v/>
      </c>
      <c r="L39" s="929" t="str">
        <f t="shared" ca="1" si="57"/>
        <v/>
      </c>
      <c r="M39" s="929" t="str">
        <f t="shared" ca="1" si="57"/>
        <v/>
      </c>
      <c r="N39" s="929" t="str">
        <f t="shared" ca="1" si="57"/>
        <v/>
      </c>
      <c r="O39" s="929" t="str">
        <f t="shared" ca="1" si="57"/>
        <v/>
      </c>
      <c r="P39" s="929" t="str">
        <f t="shared" ca="1" si="57"/>
        <v/>
      </c>
      <c r="Q39" s="931" t="s">
        <v>1039</v>
      </c>
      <c r="R39" s="929" t="str">
        <f t="shared" ca="1" si="58"/>
        <v/>
      </c>
      <c r="S39" s="929" t="str">
        <f t="shared" ca="1" si="58"/>
        <v/>
      </c>
      <c r="T39" s="929" t="str">
        <f t="shared" ca="1" si="58"/>
        <v/>
      </c>
      <c r="U39" s="929" t="str">
        <f t="shared" ca="1" si="58"/>
        <v/>
      </c>
      <c r="V39" s="929" t="str">
        <f t="shared" ca="1" si="58"/>
        <v/>
      </c>
      <c r="W39" s="929" t="str">
        <f t="shared" ca="1" si="58"/>
        <v/>
      </c>
      <c r="X39" s="929" t="str">
        <f t="shared" ca="1" si="58"/>
        <v/>
      </c>
      <c r="AG39" s="930" t="str">
        <f t="shared" ca="1" si="59"/>
        <v/>
      </c>
      <c r="AH39" s="930" t="str">
        <f t="shared" ca="1" si="61"/>
        <v/>
      </c>
      <c r="AI39" s="930" t="str">
        <f t="shared" ca="1" si="61"/>
        <v/>
      </c>
      <c r="AJ39" s="930" t="str">
        <f t="shared" ca="1" si="61"/>
        <v/>
      </c>
      <c r="AK39" s="930" t="str">
        <f t="shared" ca="1" si="61"/>
        <v/>
      </c>
      <c r="AL39" s="930" t="str">
        <f t="shared" ca="1" si="61"/>
        <v/>
      </c>
      <c r="AM39" s="930" t="str">
        <f t="shared" ca="1" si="61"/>
        <v/>
      </c>
      <c r="AN39" s="930"/>
      <c r="AO39" s="930">
        <f t="shared" ca="1" si="62"/>
        <v>46356</v>
      </c>
      <c r="AP39" s="930" t="str">
        <f t="shared" ca="1" si="62"/>
        <v/>
      </c>
      <c r="AQ39" s="930" t="str">
        <f t="shared" ca="1" si="62"/>
        <v/>
      </c>
      <c r="AR39" s="930" t="str">
        <f t="shared" ca="1" si="62"/>
        <v/>
      </c>
      <c r="AS39" s="930" t="str">
        <f t="shared" ca="1" si="62"/>
        <v/>
      </c>
      <c r="AT39" s="930" t="str">
        <f t="shared" ca="1" si="62"/>
        <v/>
      </c>
      <c r="AU39" s="930" t="str">
        <f t="shared" ca="1" si="62"/>
        <v/>
      </c>
      <c r="AV39" s="930"/>
      <c r="AW39" s="930" t="str">
        <f t="shared" ca="1" si="63"/>
        <v/>
      </c>
      <c r="AX39" s="930" t="str">
        <f t="shared" ca="1" si="63"/>
        <v/>
      </c>
      <c r="AY39" s="930" t="str">
        <f t="shared" ca="1" si="63"/>
        <v/>
      </c>
      <c r="AZ39" s="930" t="str">
        <f t="shared" ca="1" si="63"/>
        <v/>
      </c>
      <c r="BA39" s="930" t="str">
        <f t="shared" ca="1" si="63"/>
        <v/>
      </c>
      <c r="BB39" s="930" t="str">
        <f t="shared" ca="1" si="63"/>
        <v/>
      </c>
      <c r="BC39" s="930" t="str">
        <f t="shared" ca="1" si="63"/>
        <v/>
      </c>
    </row>
    <row r="40" spans="2:55" x14ac:dyDescent="0.3">
      <c r="B40" s="520" t="s">
        <v>1705</v>
      </c>
      <c r="X40" s="932"/>
      <c r="AG40" s="933"/>
      <c r="BC40" s="934"/>
    </row>
  </sheetData>
  <sheetProtection sheet="1" objects="1" scenarios="1" formatCells="0" formatColumns="0" formatRows="0" insertHyperlinks="0" selectLockedCells="1" sort="0" autoFilter="0"/>
  <mergeCells count="28">
    <mergeCell ref="B2:H2"/>
    <mergeCell ref="B3:X3"/>
    <mergeCell ref="B5:H5"/>
    <mergeCell ref="J5:P5"/>
    <mergeCell ref="R5:X5"/>
    <mergeCell ref="B32:H32"/>
    <mergeCell ref="J32:P32"/>
    <mergeCell ref="R32:X32"/>
    <mergeCell ref="B14:H14"/>
    <mergeCell ref="J14:P14"/>
    <mergeCell ref="R14:X14"/>
    <mergeCell ref="B23:H23"/>
    <mergeCell ref="J23:P23"/>
    <mergeCell ref="R23:X23"/>
    <mergeCell ref="AG2:AM2"/>
    <mergeCell ref="AG5:AM5"/>
    <mergeCell ref="AO5:AU5"/>
    <mergeCell ref="AG14:AM14"/>
    <mergeCell ref="AO14:AU14"/>
    <mergeCell ref="AW23:BC23"/>
    <mergeCell ref="AW32:BC32"/>
    <mergeCell ref="AG3:BC3"/>
    <mergeCell ref="AW5:BC5"/>
    <mergeCell ref="AG23:AM23"/>
    <mergeCell ref="AO23:AU23"/>
    <mergeCell ref="AG32:AM32"/>
    <mergeCell ref="AO32:AU32"/>
    <mergeCell ref="AW14:BC14"/>
  </mergeCells>
  <conditionalFormatting sqref="B7:H12 J7:P12 B16:H21 J16:P21 R16:X21 B25:H30 J25:P30 R25:X30 B34:H39 J34:P39 R34:X39 R7:X12">
    <cfRule type="cellIs" dxfId="42" priority="57" stopIfTrue="1" operator="equal">
      <formula>""</formula>
    </cfRule>
  </conditionalFormatting>
  <conditionalFormatting sqref="B7:H12">
    <cfRule type="expression" dxfId="41" priority="53">
      <formula>AND(MONTH($B$5)=MONTH(TODAY()),DAY(B7)=DAY(TODAY()))</formula>
    </cfRule>
  </conditionalFormatting>
  <conditionalFormatting sqref="J7:P12">
    <cfRule type="expression" dxfId="40" priority="52">
      <formula>AND(MONTH($J$5)=MONTH(TODAY()),DAY(J7)=DAY(TODAY()))</formula>
    </cfRule>
  </conditionalFormatting>
  <conditionalFormatting sqref="R7:X12">
    <cfRule type="expression" dxfId="39" priority="51">
      <formula>AND(MONTH($R$5)=MONTH(TODAY()),DAY(R7)=DAY(TODAY()))</formula>
    </cfRule>
  </conditionalFormatting>
  <conditionalFormatting sqref="B16:H21">
    <cfRule type="expression" dxfId="38" priority="50">
      <formula>AND(MONTH($B$14)=MONTH(TODAY()),DAY(B16)=DAY(TODAY()))</formula>
    </cfRule>
  </conditionalFormatting>
  <conditionalFormatting sqref="J16:P21">
    <cfRule type="expression" dxfId="37" priority="49">
      <formula>AND(MONTH($J$14)=MONTH(TODAY()),DAY(J16)=DAY(TODAY()))</formula>
    </cfRule>
  </conditionalFormatting>
  <conditionalFormatting sqref="R16:X21">
    <cfRule type="expression" dxfId="36" priority="48">
      <formula>AND(MONTH($R$14)=MONTH(TODAY()),DAY(R16)=DAY(TODAY()))</formula>
    </cfRule>
  </conditionalFormatting>
  <conditionalFormatting sqref="B25:H30">
    <cfRule type="expression" dxfId="35" priority="47">
      <formula>AND(MONTH($B$23)=MONTH(TODAY()),DAY(B25)=DAY(TODAY()))</formula>
    </cfRule>
  </conditionalFormatting>
  <conditionalFormatting sqref="J25:P30">
    <cfRule type="expression" dxfId="34" priority="46">
      <formula>AND(MONTH($J$23)=MONTH(TODAY()),DAY(J25)=DAY(TODAY()))</formula>
    </cfRule>
  </conditionalFormatting>
  <conditionalFormatting sqref="R25:X30">
    <cfRule type="expression" dxfId="33" priority="45">
      <formula>AND(MONTH($R$23)=MONTH(TODAY()),DAY(R25)=DAY(TODAY()))</formula>
    </cfRule>
  </conditionalFormatting>
  <conditionalFormatting sqref="B34:H39">
    <cfRule type="expression" dxfId="32" priority="44">
      <formula>AND(MONTH($B$32)=MONTH(TODAY()),DAY(B34)=DAY(TODAY()))</formula>
    </cfRule>
  </conditionalFormatting>
  <conditionalFormatting sqref="J34:P39">
    <cfRule type="expression" dxfId="31" priority="43">
      <formula>AND(MONTH($J$32)=MONTH(TODAY()),DAY(J34)=DAY(TODAY()))</formula>
    </cfRule>
  </conditionalFormatting>
  <conditionalFormatting sqref="R34:X39">
    <cfRule type="expression" dxfId="30" priority="42">
      <formula>AND(MONTH($R$32)=MONTH(TODAY()),DAY(R34)=DAY(TODAY()))</formula>
    </cfRule>
  </conditionalFormatting>
  <conditionalFormatting sqref="AG7:BC12">
    <cfRule type="cellIs" dxfId="29" priority="19" stopIfTrue="1" operator="equal">
      <formula>""</formula>
    </cfRule>
  </conditionalFormatting>
  <conditionalFormatting sqref="AG7:BC12">
    <cfRule type="expression" dxfId="28" priority="18">
      <formula>AND(MONTH($B$5)=MONTH(TODAY()),DAY(AG7)=DAY(TODAY()))</formula>
    </cfRule>
  </conditionalFormatting>
  <conditionalFormatting sqref="AG16:BC21">
    <cfRule type="cellIs" dxfId="27" priority="6" stopIfTrue="1" operator="equal">
      <formula>""</formula>
    </cfRule>
  </conditionalFormatting>
  <conditionalFormatting sqref="AG16:BC21">
    <cfRule type="expression" dxfId="26" priority="5">
      <formula>AND(MONTH($B$5)=MONTH(TODAY()),DAY(AG16)=DAY(TODAY()))</formula>
    </cfRule>
  </conditionalFormatting>
  <conditionalFormatting sqref="AG25:BC30">
    <cfRule type="cellIs" dxfId="25" priority="4" stopIfTrue="1" operator="equal">
      <formula>""</formula>
    </cfRule>
  </conditionalFormatting>
  <conditionalFormatting sqref="AG25:BC30">
    <cfRule type="expression" dxfId="24" priority="3">
      <formula>AND(MONTH($B$5)=MONTH(TODAY()),DAY(AG25)=DAY(TODAY()))</formula>
    </cfRule>
  </conditionalFormatting>
  <conditionalFormatting sqref="AG34:BC39">
    <cfRule type="cellIs" dxfId="23" priority="2" stopIfTrue="1" operator="equal">
      <formula>""</formula>
    </cfRule>
  </conditionalFormatting>
  <conditionalFormatting sqref="AG34:BC39">
    <cfRule type="expression" dxfId="22" priority="1">
      <formula>AND(MONTH($B$5)=MONTH(TODAY()),DAY(AG34)=DAY(TODAY()))</formula>
    </cfRule>
  </conditionalFormatting>
  <printOptions horizontalCentered="1"/>
  <pageMargins left="0.78740157499999996" right="0.78740157499999996" top="0.75" bottom="0.75" header="0.5" footer="0.5"/>
  <pageSetup orientation="portrait" r:id="rId1"/>
  <headerFooter alignWithMargins="0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Tabelle7"/>
  <dimension ref="B4:K21"/>
  <sheetViews>
    <sheetView showGridLines="0" zoomScaleNormal="100" workbookViewId="0">
      <selection activeCell="D6" sqref="D6"/>
    </sheetView>
  </sheetViews>
  <sheetFormatPr baseColWidth="10" defaultColWidth="11.5546875" defaultRowHeight="14.4" x14ac:dyDescent="0.3"/>
  <cols>
    <col min="1" max="1" width="11.44140625" style="73"/>
    <col min="2" max="2" width="11.5546875" style="73"/>
    <col min="3" max="3" width="0.5546875" style="73" customWidth="1"/>
    <col min="4" max="4" width="32.44140625" style="73" customWidth="1"/>
    <col min="5" max="5" width="0.44140625" style="73" customWidth="1"/>
    <col min="6" max="6" width="11.5546875" style="73"/>
    <col min="7" max="7" width="8.44140625" style="73" hidden="1" customWidth="1"/>
    <col min="8" max="9" width="11.5546875" style="73"/>
    <col min="10" max="11" width="0.109375" style="73" customWidth="1"/>
    <col min="12" max="16384" width="11.5546875" style="73"/>
  </cols>
  <sheetData>
    <row r="4" spans="2:11" ht="20.25" customHeight="1" x14ac:dyDescent="0.3">
      <c r="B4" s="935"/>
      <c r="C4" s="935"/>
      <c r="D4" s="936" t="str">
        <f ca="1">' '!A48</f>
        <v>Votre logo:</v>
      </c>
      <c r="E4" s="935"/>
      <c r="F4" s="935"/>
    </row>
    <row r="5" spans="2:11" ht="3.75" customHeight="1" x14ac:dyDescent="0.3">
      <c r="B5" s="935"/>
      <c r="F5" s="935"/>
    </row>
    <row r="6" spans="2:11" ht="41.25" customHeight="1" x14ac:dyDescent="0.3">
      <c r="B6" s="935"/>
      <c r="D6" s="11"/>
      <c r="F6" s="935"/>
    </row>
    <row r="7" spans="2:11" ht="3" customHeight="1" x14ac:dyDescent="0.3">
      <c r="B7" s="935"/>
      <c r="F7" s="935"/>
    </row>
    <row r="8" spans="2:11" x14ac:dyDescent="0.3">
      <c r="B8" s="935"/>
      <c r="C8" s="935"/>
      <c r="D8" s="935"/>
      <c r="E8" s="935"/>
      <c r="F8" s="935"/>
    </row>
    <row r="9" spans="2:11" ht="9" customHeight="1" x14ac:dyDescent="0.3">
      <c r="B9" s="935"/>
      <c r="C9" s="935"/>
      <c r="D9" s="935"/>
      <c r="E9" s="935"/>
      <c r="F9" s="935"/>
    </row>
    <row r="11" spans="2:11" x14ac:dyDescent="0.3">
      <c r="B11" s="1124" t="str">
        <f ca="1">' '!A6</f>
        <v>Afficher un avertissement si la protection est désactivée ?</v>
      </c>
      <c r="C11" s="1124"/>
      <c r="D11" s="1124"/>
      <c r="F11" s="212" t="b">
        <v>1</v>
      </c>
      <c r="G11" s="523">
        <f>IF(F11,1,0)</f>
        <v>1</v>
      </c>
    </row>
    <row r="12" spans="2:11" ht="27.6" customHeight="1" x14ac:dyDescent="0.3">
      <c r="B12" s="1124"/>
      <c r="C12" s="1124"/>
      <c r="D12" s="1124"/>
    </row>
    <row r="13" spans="2:11" x14ac:dyDescent="0.3">
      <c r="B13" s="937" t="str">
        <f ca="1">' '!A493</f>
        <v>Devise:</v>
      </c>
      <c r="D13" s="12" t="s">
        <v>1690</v>
      </c>
      <c r="E13" s="12"/>
      <c r="F13" s="12" t="str">
        <f ca="1">' '!A51</f>
        <v>CHF? h?</v>
      </c>
    </row>
    <row r="15" spans="2:11" x14ac:dyDescent="0.3">
      <c r="B15" s="937" t="str">
        <f ca="1">' '!A498</f>
        <v>rouge</v>
      </c>
      <c r="D15" s="116">
        <v>0.5</v>
      </c>
      <c r="E15" s="12"/>
      <c r="F15" s="12"/>
      <c r="J15" s="73" t="s">
        <v>1742</v>
      </c>
      <c r="K15" s="938">
        <v>0.5</v>
      </c>
    </row>
    <row r="16" spans="2:11" x14ac:dyDescent="0.3">
      <c r="B16" s="937" t="str">
        <f ca="1">' '!A497</f>
        <v>orange</v>
      </c>
      <c r="D16" s="116">
        <v>0.3</v>
      </c>
      <c r="E16" s="12"/>
      <c r="F16" s="12"/>
      <c r="J16" s="73" t="s">
        <v>1740</v>
      </c>
      <c r="K16" s="938">
        <v>3.0000000000000001E-3</v>
      </c>
    </row>
    <row r="17" spans="2:11" x14ac:dyDescent="0.3">
      <c r="B17" s="937" t="str">
        <f ca="1">' '!A496</f>
        <v>vert</v>
      </c>
      <c r="D17" s="116">
        <v>0.2</v>
      </c>
      <c r="E17" s="12"/>
      <c r="F17" s="12"/>
      <c r="J17" s="73" t="s">
        <v>66</v>
      </c>
      <c r="K17" s="938">
        <f>2-K15-K16</f>
        <v>1.4970000000000001</v>
      </c>
    </row>
    <row r="18" spans="2:11" ht="0.15" customHeight="1" x14ac:dyDescent="0.3">
      <c r="B18" s="937" t="s">
        <v>1738</v>
      </c>
      <c r="D18" s="116">
        <f>SUM(D15:D17)</f>
        <v>1</v>
      </c>
      <c r="E18" s="12"/>
      <c r="F18" s="12"/>
    </row>
    <row r="19" spans="2:11" x14ac:dyDescent="0.3">
      <c r="B19" s="939" t="str">
        <f ca="1">' '!A193</f>
        <v>TOTAL</v>
      </c>
      <c r="C19" s="940"/>
      <c r="D19" s="117">
        <f>SUM(D18)</f>
        <v>1</v>
      </c>
      <c r="E19" s="12"/>
      <c r="F19" s="12"/>
    </row>
    <row r="21" spans="2:11" x14ac:dyDescent="0.3">
      <c r="B21" s="520" t="s">
        <v>1705</v>
      </c>
    </row>
  </sheetData>
  <sheetProtection sheet="1" scenarios="1" formatCells="0" formatColumns="0" formatRows="0" insertHyperlinks="0" sort="0" autoFilter="0"/>
  <mergeCells count="1">
    <mergeCell ref="B11:D12"/>
  </mergeCells>
  <conditionalFormatting sqref="D19">
    <cfRule type="expression" dxfId="21" priority="1">
      <formula>$D$19&lt;&gt;100%</formula>
    </cfRule>
  </conditionalFormatting>
  <dataValidations disablePrompts="1" count="1">
    <dataValidation type="custom" errorStyle="warning" allowBlank="1" showInputMessage="1" showErrorMessage="1" errorTitle="The total must be 100%" error="The total must be 100%" sqref="D15:D17" xr:uid="{00000000-0002-0000-1C00-000000000000}">
      <formula1>$D$19=100%</formula1>
    </dataValidation>
  </dataValidations>
  <pageMargins left="0.7" right="0.7" top="0.78740157499999996" bottom="0.78740157499999996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6097" r:id="rId4" name="Check Box 1">
              <controlPr defaultSize="0" print="0" autoFill="0" autoLine="0" autoPict="0" altText="h">
                <anchor moveWithCells="1" sizeWithCells="1">
                  <from>
                    <xdr:col>5</xdr:col>
                    <xdr:colOff>525780</xdr:colOff>
                    <xdr:row>11</xdr:row>
                    <xdr:rowOff>327660</xdr:rowOff>
                  </from>
                  <to>
                    <xdr:col>5</xdr:col>
                    <xdr:colOff>746760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98" r:id="rId5" name="Check Box 2">
              <controlPr defaultSize="0" autoFill="0" autoLine="0" autoPict="0">
                <anchor moveWithCells="1">
                  <from>
                    <xdr:col>5</xdr:col>
                    <xdr:colOff>525780</xdr:colOff>
                    <xdr:row>10</xdr:row>
                    <xdr:rowOff>15240</xdr:rowOff>
                  </from>
                  <to>
                    <xdr:col>5</xdr:col>
                    <xdr:colOff>769620</xdr:colOff>
                    <xdr:row>11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20</vt:i4>
      </vt:variant>
      <vt:variant>
        <vt:lpstr>Benannte Bereiche</vt:lpstr>
      </vt:variant>
      <vt:variant>
        <vt:i4>61</vt:i4>
      </vt:variant>
    </vt:vector>
  </HeadingPairs>
  <TitlesOfParts>
    <vt:vector size="81" baseType="lpstr">
      <vt:lpstr>Projektmgmt</vt:lpstr>
      <vt:lpstr>Projektteam</vt:lpstr>
      <vt:lpstr>Projektauftrag</vt:lpstr>
      <vt:lpstr>Detailplan</vt:lpstr>
      <vt:lpstr>Projektstand</vt:lpstr>
      <vt:lpstr>Projektabschluss</vt:lpstr>
      <vt:lpstr>Indicators</vt:lpstr>
      <vt:lpstr>Stakeholder</vt:lpstr>
      <vt:lpstr>Sitzungen</vt:lpstr>
      <vt:lpstr>Liste de tâches</vt:lpstr>
      <vt:lpstr>FAQ</vt:lpstr>
      <vt:lpstr>Projektbudget</vt:lpstr>
      <vt:lpstr>Grobkonzept</vt:lpstr>
      <vt:lpstr>Detailkonzept</vt:lpstr>
      <vt:lpstr>Projektcontrolling</vt:lpstr>
      <vt:lpstr>Notizen</vt:lpstr>
      <vt:lpstr>Swot-Analyse</vt:lpstr>
      <vt:lpstr>Risikomgmt</vt:lpstr>
      <vt:lpstr>Kalender</vt:lpstr>
      <vt:lpstr>Logo</vt:lpstr>
      <vt:lpstr>Grobkonzept!_Toc343329675</vt:lpstr>
      <vt:lpstr>Grobkonzept!_Toc343329676</vt:lpstr>
      <vt:lpstr>Grobkonzept!_Toc343329677</vt:lpstr>
      <vt:lpstr>Grobkonzept!_Toc343329678</vt:lpstr>
      <vt:lpstr>Grobkonzept!_Toc343329679</vt:lpstr>
      <vt:lpstr>Grobkonzept!_Toc343329680</vt:lpstr>
      <vt:lpstr>Grobkonzept!_Toc343329681</vt:lpstr>
      <vt:lpstr>Detailkonzept!_Toc343522476</vt:lpstr>
      <vt:lpstr>Detailkonzept!_Toc343522477</vt:lpstr>
      <vt:lpstr>Detailkonzept!_Toc343522478</vt:lpstr>
      <vt:lpstr>Detailkonzept!_Toc343522479</vt:lpstr>
      <vt:lpstr>Detailkonzept!_Toc343522480</vt:lpstr>
      <vt:lpstr>Detailkonzept!_Toc343522481</vt:lpstr>
      <vt:lpstr>Grobkonzept!_Toc345954867</vt:lpstr>
      <vt:lpstr>Grobkonzept!_Toc345954868</vt:lpstr>
      <vt:lpstr>Grobkonzept!_Toc345954869</vt:lpstr>
      <vt:lpstr>Grobkonzept!_Toc345954870</vt:lpstr>
      <vt:lpstr>Grobkonzept!_Toc345954871</vt:lpstr>
      <vt:lpstr>Grobkonzept!_Toc345954872</vt:lpstr>
      <vt:lpstr>Année_civile</vt:lpstr>
      <vt:lpstr>Datum</vt:lpstr>
      <vt:lpstr>Detailkonzept!Druckbereich</vt:lpstr>
      <vt:lpstr>Detailplan!Druckbereich</vt:lpstr>
      <vt:lpstr>FAQ!Druckbereich</vt:lpstr>
      <vt:lpstr>Grobkonzept!Druckbereich</vt:lpstr>
      <vt:lpstr>Kalender!Druckbereich</vt:lpstr>
      <vt:lpstr>Notizen!Druckbereich</vt:lpstr>
      <vt:lpstr>Projektabschluss!Druckbereich</vt:lpstr>
      <vt:lpstr>Projektauftrag!Druckbereich</vt:lpstr>
      <vt:lpstr>Projektbudget!Druckbereich</vt:lpstr>
      <vt:lpstr>Projektcontrolling!Druckbereich</vt:lpstr>
      <vt:lpstr>Projektmgmt!Druckbereich</vt:lpstr>
      <vt:lpstr>Projektstand!Druckbereich</vt:lpstr>
      <vt:lpstr>Projektteam!Druckbereich</vt:lpstr>
      <vt:lpstr>Risikomgmt!Druckbereich</vt:lpstr>
      <vt:lpstr>Sitzungen!Druckbereich</vt:lpstr>
      <vt:lpstr>Stakeholder!Druckbereich</vt:lpstr>
      <vt:lpstr>'Swot-Analyse'!Druckbereich</vt:lpstr>
      <vt:lpstr>Detailplan!Drucktitel</vt:lpstr>
      <vt:lpstr>FAQ!Drucktitel</vt:lpstr>
      <vt:lpstr>'Liste de tâches'!Drucktitel</vt:lpstr>
      <vt:lpstr>Notizen!Drucktitel</vt:lpstr>
      <vt:lpstr>Projektbudget!Drucktitel</vt:lpstr>
      <vt:lpstr>Projektcontrolling!Drucktitel</vt:lpstr>
      <vt:lpstr>Projektmgmt!Drucktitel</vt:lpstr>
      <vt:lpstr>Risikomgmt!Drucktitel</vt:lpstr>
      <vt:lpstr>Sitzungen!Drucktitel</vt:lpstr>
      <vt:lpstr>Stakeholder!Drucktitel</vt:lpstr>
      <vt:lpstr>'Swot-Analyse'!Drucktitel</vt:lpstr>
      <vt:lpstr>graph_2_stakeholder</vt:lpstr>
      <vt:lpstr>Graph_Risk</vt:lpstr>
      <vt:lpstr>graph_stakeholder</vt:lpstr>
      <vt:lpstr>Sprachen</vt:lpstr>
      <vt:lpstr>Strategie_1</vt:lpstr>
      <vt:lpstr>Strategie_2</vt:lpstr>
      <vt:lpstr>Strategie_3</vt:lpstr>
      <vt:lpstr>Strategie_4</vt:lpstr>
      <vt:lpstr>Strategie_5</vt:lpstr>
      <vt:lpstr>Strategie_6</vt:lpstr>
      <vt:lpstr>Titre1</vt:lpstr>
      <vt:lpstr>'Swot-Analyse'!top_swot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iSerge</dc:creator>
  <cp:lastModifiedBy>Imboden Serge</cp:lastModifiedBy>
  <cp:lastPrinted>2022-04-10T09:38:16Z</cp:lastPrinted>
  <dcterms:created xsi:type="dcterms:W3CDTF">2010-11-08T10:14:07Z</dcterms:created>
  <dcterms:modified xsi:type="dcterms:W3CDTF">2026-01-27T05:58:25Z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